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prod.protected.ind\user\User02\BG6202\desktop\Delete\"/>
    </mc:Choice>
  </mc:AlternateContent>
  <xr:revisionPtr revIDLastSave="0" documentId="8_{05706DF7-22F4-4319-A223-994612271356}" xr6:coauthVersionLast="47" xr6:coauthVersionMax="47" xr10:uidLastSave="{00000000-0000-0000-0000-000000000000}"/>
  <workbookProtection workbookAlgorithmName="SHA-512" workbookHashValue="6z/6BwjAtbJQ/w1lFhryn9nn2V40LEc3a5hZUfsse0iwWubKpW6GBgbpLw1GW0mEoZFwsanRHanxBawkocOLjg==" workbookSaltValue="1Gf5EAoLu20X5THtR2uMxQ==" workbookSpinCount="100000" lockStructure="1"/>
  <bookViews>
    <workbookView xWindow="-110" yWindow="-110" windowWidth="19420" windowHeight="10420" xr2:uid="{00000000-000D-0000-FFFF-FFFF00000000}"/>
  </bookViews>
  <sheets>
    <sheet name="Calculator" sheetId="4" r:id="rId1"/>
    <sheet name="Help" sheetId="5" r:id="rId2"/>
    <sheet name="New Features NCC 2022" sheetId="19" r:id="rId3"/>
    <sheet name="Screenshots" sheetId="22" r:id="rId4"/>
    <sheet name="Worksheet" sheetId="9" r:id="rId5"/>
    <sheet name="Tables" sheetId="8" state="hidden" r:id="rId6"/>
    <sheet name="CZ01 Factors" sheetId="10" state="hidden" r:id="rId7"/>
    <sheet name="CZ02 Factors" sheetId="11" state="hidden" r:id="rId8"/>
    <sheet name="CZ03 Factors" sheetId="12" state="hidden" r:id="rId9"/>
    <sheet name="CZ04 Factors" sheetId="13" state="hidden" r:id="rId10"/>
    <sheet name="CZ05 Factors" sheetId="14" state="hidden" r:id="rId11"/>
    <sheet name="CZ05 BC Factors" sheetId="15" state="hidden" r:id="rId12"/>
    <sheet name="CZ06 Factors" sheetId="16" state="hidden" r:id="rId13"/>
    <sheet name="CZ07 Factors" sheetId="17" state="hidden" r:id="rId14"/>
    <sheet name="CZ08 Factors" sheetId="18" state="hidden" r:id="rId15"/>
    <sheet name="GC orig exposure" sheetId="21" state="hidden" r:id="rId16"/>
  </sheets>
  <definedNames>
    <definedName name="_Bed_">Calculator!$CQ$110:$CQ$112</definedName>
    <definedName name="_Climate_List_">Calculator!$DD$134:$DD$141</definedName>
    <definedName name="_F_">Calculator!$CT$110:$CT$112</definedName>
    <definedName name="_xlnm._FilterDatabase" localSheetId="0" hidden="1">Calculator!$B$19:$B$99</definedName>
    <definedName name="_Flr_Abrv_">Calculator!$DD$110:$DF$117</definedName>
    <definedName name="_Hard_">Calculator!$CS$110:$CS$117</definedName>
    <definedName name="_Level_">Calculator!$CR$110:$CR$112</definedName>
    <definedName name="_Open_">Calculator!$CU$110:$CU$136</definedName>
    <definedName name="ActiveA">Calculator!$F$151</definedName>
    <definedName name="ActiveB">Calculator!$F$152</definedName>
    <definedName name="ActiveDisplayed">Calculator!$F$163</definedName>
    <definedName name="ActiveHidden">Calculator!$F$164</definedName>
    <definedName name="AdviceIssuesOnly">Calculator!$BA$12</definedName>
    <definedName name="AirMovement">Calculator!$B$13</definedName>
    <definedName name="AllInputsOK">Calculator!$BA$15</definedName>
    <definedName name="AllowanceCuA">Calculator!$X$13</definedName>
    <definedName name="AllowanceCuB">Calculator!$Y$13</definedName>
    <definedName name="AllowedCond">Calculator!$AH$13</definedName>
    <definedName name="AllowedSHG">Calculator!$AI$13</definedName>
    <definedName name="AreaA">Calculator!$F$7</definedName>
    <definedName name="AreaAll">Calculator!$F$13</definedName>
    <definedName name="AreaApercent">Calculator!$AI$1</definedName>
    <definedName name="AreaB">Calculator!$F$8</definedName>
    <definedName name="AreaBpercent">Calculator!$AK$1</definedName>
    <definedName name="AreaUsed">Calculator!$U$20:$U$99</definedName>
    <definedName name="BC_in_Z5">Calculator!$T$6</definedName>
    <definedName name="Brick_Cavity">Calculator!$DL$109:$DL$111</definedName>
    <definedName name="Building">Calculator!$B$4</definedName>
    <definedName name="C_shgc_achieved">Calculator!$AN$13</definedName>
    <definedName name="ConductanceAccess">Calculator!$CA$18</definedName>
    <definedName name="ConstantsA">Tables!$D$17:$L$19,Tables!$D$29:$L$30</definedName>
    <definedName name="ConstantsB">Tables!$D$35:$L$37,Tables!$D$45:$L$46</definedName>
    <definedName name="ConstantsGround">Tables!$O$17:$V$29</definedName>
    <definedName name="ConstantsSource">Calculator!$W$2</definedName>
    <definedName name="ConstantsSuspended">Tables!$O$33:$U$40</definedName>
    <definedName name="CshgcA">Calculator!$AI$4</definedName>
    <definedName name="CshgcB">Calculator!$AK$4</definedName>
    <definedName name="CshgcWeighted">Calculator!$AI$12</definedName>
    <definedName name="Cu_achieved">Calculator!$AM$13</definedName>
    <definedName name="CuA">Calculator!$AH$4</definedName>
    <definedName name="CuB">Calculator!$AJ$4</definedName>
    <definedName name="CuWeighted">Calculator!$AH$12</definedName>
    <definedName name="DifferenceA">Calculator!$AH$8</definedName>
    <definedName name="DifferenceB">Calculator!$AJ$8</definedName>
    <definedName name="Directions">Tables!$D$69:$K$69</definedName>
    <definedName name="Dudfactors">Calculator!$AQ$15</definedName>
    <definedName name="DudPerformance">Calculator!$AR$15</definedName>
    <definedName name="DudShading">Calculator!$AV$15</definedName>
    <definedName name="DudSize">Calculator!$AM$15</definedName>
    <definedName name="DudTableInputs">Calculator!$AY$15</definedName>
    <definedName name="EmptyA">Calculator!$F$146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CT_AFF">Calculator!$AG$19</definedName>
    <definedName name="FailedCondA">Calculator!$CC$12</definedName>
    <definedName name="FailedConductance">Calculator!$CC$12</definedName>
    <definedName name="FailedSHG">Calculator!$CD$12</definedName>
    <definedName name="FailedSHGA">Calculator!$CD$12</definedName>
    <definedName name="FailedSHGB">Calculator!$CJ$15</definedName>
    <definedName name="First3Inputs">Calculator!$F$143</definedName>
    <definedName name="GlazingAreaA">Calculator!$AI$15</definedName>
    <definedName name="GlazingAreaAll">Calculator!$AI$15</definedName>
    <definedName name="Hard_Floor">Calculator!$DD$110:$DE$117</definedName>
    <definedName name="Help">Help!$D$3</definedName>
    <definedName name="InputIssues">Calculator!$BA$18</definedName>
    <definedName name="InputsAlert">Calculator!$S$15</definedName>
    <definedName name="InterpolatedA">Calculator!$AI$8</definedName>
    <definedName name="InterpolatedB">Calculator!$AK$8</definedName>
    <definedName name="LastActive">Calculator!$AB$18</definedName>
    <definedName name="MultipleAir">Calculator!$AH$6</definedName>
    <definedName name="NoGlazing">Calculator!$F$133</definedName>
    <definedName name="NoSector">Calculator!$AL$18</definedName>
    <definedName name="NoWallConcession">Calculator!$E$176</definedName>
    <definedName name="NoZoneTableActive">Calculator!$F$139</definedName>
    <definedName name="OC_Fact_Slab">Tables!$AL$20:$AS$29</definedName>
    <definedName name="OC_Fact_Timb">Tables!$AL$35:$AS$44</definedName>
    <definedName name="Orient_Num">Tables!$AV$19:$AW$26</definedName>
    <definedName name="Orientations">Tables!$D$59:$K$59</definedName>
    <definedName name="OrientationsA">OFFSET(Calculator!$F$158,0,0,1,IF(UpperInputsFlagged=0,8,0))</definedName>
    <definedName name="OrphanData">Calculator!$BG$15</definedName>
    <definedName name="OrphanVent">Calculator!$F$150</definedName>
    <definedName name="_xlnm.Print_Area" localSheetId="0">Calculator!$A$1:$Z$104</definedName>
    <definedName name="_xlnm.Print_Area" localSheetId="1">Help!$C$5:$E$102</definedName>
    <definedName name="_xlnm.Print_Area" localSheetId="2">'New Features NCC 2022'!$A$1:$E$67</definedName>
    <definedName name="_xlnm.Print_Titles" localSheetId="0">Calculator!$17:$19</definedName>
    <definedName name="_xlnm.Print_Titles" localSheetId="1">Help!$5:$6</definedName>
    <definedName name="Projections">Tables!$C$71:$C$83</definedName>
    <definedName name="Rows">Calculator!$AB$20:$AB$99</definedName>
    <definedName name="RowsActive">Calculator!$AI$18</definedName>
    <definedName name="RowsAvailable">Calculator!$F$161</definedName>
    <definedName name="RowsDisplayed">Calculator!$F$162</definedName>
    <definedName name="RowsOK">Calculator!$AY$18</definedName>
    <definedName name="RowsPreferred">Calculator!$F$15</definedName>
    <definedName name="RowsSkipped">Calculator!$AK$18</definedName>
    <definedName name="RowsWithData">Calculator!$AJ$18</definedName>
    <definedName name="S_Slab_Fact">Tables!$P$21:$X$27</definedName>
    <definedName name="S_Timb_Fact">Tables!$Z$21:$AH$27</definedName>
    <definedName name="Screenshot1">Screenshots!$B$5</definedName>
    <definedName name="Screenshot2">Screenshots!$B$52</definedName>
    <definedName name="Screenshot3">Screenshots!$B$100</definedName>
    <definedName name="SectorFacedA">Calculator!$F$20:$F$99</definedName>
    <definedName name="SectorsInA">Calculator!$F$168</definedName>
    <definedName name="SectorsListed">Calculator!$F$20:$F$99</definedName>
    <definedName name="ShowPassCond">Calculator!$CC$13</definedName>
    <definedName name="ShowPassSHG">Calculator!$CD$13</definedName>
    <definedName name="Slab_or_Timb">Calculator!$CP$14</definedName>
    <definedName name="SSDisplay">#REF!</definedName>
    <definedName name="SSEditing">#REF!</definedName>
    <definedName name="SSErrors">#REF!</definedName>
    <definedName name="Storey">Calculator!$B$8</definedName>
    <definedName name="Storeys">Calculator!$DJ$109:$DJ$110</definedName>
    <definedName name="SuffixAir">Calculator!$AI$6</definedName>
    <definedName name="TableEntries">Calculator!$AH$18</definedName>
    <definedName name="TableInputs">Calculator!$F$20:$R$99</definedName>
    <definedName name="TopInputsOK">Calculator!$F$155</definedName>
    <definedName name="Up_FL_Exist">Calculator!#REF!</definedName>
    <definedName name="Up_Win_Area">Calculator!$AB$2</definedName>
    <definedName name="Up_Win_Exist">Calculator!$I$7</definedName>
    <definedName name="UpperInputsAlerts">Calculator!$R$133</definedName>
    <definedName name="UpperInputsFlagged">Calculator!$V$133</definedName>
    <definedName name="UpperInputsIssues">Calculator!$S$133</definedName>
    <definedName name="UserConstantsGround">Tables!$Y$17:$AG$29</definedName>
    <definedName name="UserConstantsSuspended">Tables!$Y$34:$AG$41</definedName>
    <definedName name="ValidExposures">OFFSET(Calculator!$F$165,0,0,1,IF(Zone=1,1,3))</definedName>
    <definedName name="VentilationA">Calculator!$B$13</definedName>
    <definedName name="VentPending">Calculator!$F$149</definedName>
    <definedName name="VisibleFailures">Calculator!$BG$18</definedName>
    <definedName name="W_Slab_Fact">Tables!$P$32:$X$40</definedName>
    <definedName name="W_Timb_Fact">Tables!$Z$32:$AH$40</definedName>
    <definedName name="WallConcession">Calculator!$J$12</definedName>
    <definedName name="WallConcessions">OFFSET(Calculator!$E$176,0,0,1+Calculator!$D$175,1)</definedName>
    <definedName name="Win_Open_less_1.5">Calculator!$CX$113:$DB$120</definedName>
    <definedName name="Win_Open_more_1.5">Calculator!$CX$121:$DB$128</definedName>
    <definedName name="Zone">Calculator!$T$4</definedName>
    <definedName name="Zone_Col">Calculator!$CW$13</definedName>
    <definedName name="Zone_Lookup">Calculator!$CV$13</definedName>
  </definedNames>
  <calcPr calcId="191029"/>
  <webPublishing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34" i="4" l="1"/>
  <c r="BD34" i="4" s="1"/>
  <c r="O6" i="4"/>
  <c r="AH32" i="4"/>
  <c r="BD32" i="4" s="1"/>
  <c r="AH33" i="4"/>
  <c r="AH31" i="4"/>
  <c r="BD31" i="4" s="1"/>
  <c r="AH20" i="4"/>
  <c r="BD20" i="4" s="1"/>
  <c r="AH21" i="4"/>
  <c r="BD21" i="4" s="1"/>
  <c r="AH22" i="4"/>
  <c r="AH23" i="4"/>
  <c r="AH24" i="4"/>
  <c r="BD24" i="4" s="1"/>
  <c r="AH25" i="4"/>
  <c r="AH26" i="4"/>
  <c r="AH27" i="4"/>
  <c r="BD27" i="4" s="1"/>
  <c r="AH28" i="4"/>
  <c r="BD28" i="4" s="1"/>
  <c r="AH29" i="4"/>
  <c r="BD29" i="4" s="1"/>
  <c r="AJ20" i="4"/>
  <c r="AJ21" i="4"/>
  <c r="AJ22" i="4"/>
  <c r="AJ23" i="4"/>
  <c r="AJ24" i="4"/>
  <c r="AJ25" i="4"/>
  <c r="AJ26" i="4"/>
  <c r="AJ27" i="4"/>
  <c r="AJ28" i="4"/>
  <c r="AJ29" i="4"/>
  <c r="AJ31" i="4"/>
  <c r="AJ32" i="4"/>
  <c r="AJ33" i="4"/>
  <c r="F13" i="4"/>
  <c r="CP14" i="4"/>
  <c r="DI83" i="4" s="1"/>
  <c r="F152" i="4"/>
  <c r="AH30" i="4"/>
  <c r="AJ30" i="4"/>
  <c r="AH35" i="4"/>
  <c r="AZ35" i="4" s="1"/>
  <c r="AH36" i="4"/>
  <c r="AQ36" i="4" s="1"/>
  <c r="AH37" i="4"/>
  <c r="AN37" i="4" s="1"/>
  <c r="AH38" i="4"/>
  <c r="AL38" i="4" s="1"/>
  <c r="AH39" i="4"/>
  <c r="AV39" i="4" s="1"/>
  <c r="AH40" i="4"/>
  <c r="AP40" i="4" s="1"/>
  <c r="AH41" i="4"/>
  <c r="AW41" i="4" s="1"/>
  <c r="AH42" i="4"/>
  <c r="AT42" i="4" s="1"/>
  <c r="AU42" i="4" s="1"/>
  <c r="AH43" i="4"/>
  <c r="AR43" i="4" s="1"/>
  <c r="AH44" i="4"/>
  <c r="AV44" i="4" s="1"/>
  <c r="AH45" i="4"/>
  <c r="AL45" i="4" s="1"/>
  <c r="AH46" i="4"/>
  <c r="AV46" i="4" s="1"/>
  <c r="AH47" i="4"/>
  <c r="AW47" i="4" s="1"/>
  <c r="AH48" i="4"/>
  <c r="AQ48" i="4" s="1"/>
  <c r="AH49" i="4"/>
  <c r="AR49" i="4" s="1"/>
  <c r="AH50" i="4"/>
  <c r="AT50" i="4" s="1"/>
  <c r="AU50" i="4" s="1"/>
  <c r="AH51" i="4"/>
  <c r="BE51" i="4" s="1"/>
  <c r="AH52" i="4"/>
  <c r="AV52" i="4" s="1"/>
  <c r="AH53" i="4"/>
  <c r="BD53" i="4" s="1"/>
  <c r="AH54" i="4"/>
  <c r="AR54" i="4" s="1"/>
  <c r="AH55" i="4"/>
  <c r="BD55" i="4" s="1"/>
  <c r="AH56" i="4"/>
  <c r="AP56" i="4" s="1"/>
  <c r="AH57" i="4"/>
  <c r="AT57" i="4" s="1"/>
  <c r="AU57" i="4" s="1"/>
  <c r="AH58" i="4"/>
  <c r="AR58" i="4" s="1"/>
  <c r="AH59" i="4"/>
  <c r="BF59" i="4" s="1"/>
  <c r="AH60" i="4"/>
  <c r="AR60" i="4" s="1"/>
  <c r="AH61" i="4"/>
  <c r="AM61" i="4" s="1"/>
  <c r="AH62" i="4"/>
  <c r="AM62" i="4" s="1"/>
  <c r="AH63" i="4"/>
  <c r="BD63" i="4" s="1"/>
  <c r="AH64" i="4"/>
  <c r="AP64" i="4" s="1"/>
  <c r="AH65" i="4"/>
  <c r="AL65" i="4" s="1"/>
  <c r="AH66" i="4"/>
  <c r="AN66" i="4" s="1"/>
  <c r="AH67" i="4"/>
  <c r="AZ67" i="4" s="1"/>
  <c r="AH68" i="4"/>
  <c r="BD68" i="4" s="1"/>
  <c r="AH69" i="4"/>
  <c r="BD69" i="4" s="1"/>
  <c r="AH70" i="4"/>
  <c r="AL70" i="4" s="1"/>
  <c r="AH71" i="4"/>
  <c r="AN71" i="4" s="1"/>
  <c r="AH72" i="4"/>
  <c r="AX72" i="4" s="1"/>
  <c r="AH73" i="4"/>
  <c r="AV73" i="4" s="1"/>
  <c r="AH74" i="4"/>
  <c r="AH75" i="4"/>
  <c r="AV75" i="4" s="1"/>
  <c r="AH76" i="4"/>
  <c r="AM76" i="4" s="1"/>
  <c r="AH77" i="4"/>
  <c r="AX77" i="4" s="1"/>
  <c r="AH78" i="4"/>
  <c r="BD78" i="4" s="1"/>
  <c r="AH79" i="4"/>
  <c r="AL79" i="4" s="1"/>
  <c r="AH80" i="4"/>
  <c r="AP80" i="4" s="1"/>
  <c r="AH81" i="4"/>
  <c r="AR81" i="4" s="1"/>
  <c r="AH82" i="4"/>
  <c r="BD82" i="4" s="1"/>
  <c r="AH83" i="4"/>
  <c r="BD83" i="4" s="1"/>
  <c r="AH84" i="4"/>
  <c r="AQ84" i="4" s="1"/>
  <c r="AH85" i="4"/>
  <c r="AL85" i="4" s="1"/>
  <c r="AH86" i="4"/>
  <c r="BF86" i="4" s="1"/>
  <c r="AH87" i="4"/>
  <c r="BF87" i="4" s="1"/>
  <c r="AH88" i="4"/>
  <c r="AP88" i="4" s="1"/>
  <c r="AH89" i="4"/>
  <c r="AQ89" i="4" s="1"/>
  <c r="AH90" i="4"/>
  <c r="AZ90" i="4" s="1"/>
  <c r="AH91" i="4"/>
  <c r="BE91" i="4" s="1"/>
  <c r="AH92" i="4"/>
  <c r="AV92" i="4" s="1"/>
  <c r="AH93" i="4"/>
  <c r="AM93" i="4" s="1"/>
  <c r="AH94" i="4"/>
  <c r="AM94" i="4" s="1"/>
  <c r="AH95" i="4"/>
  <c r="AN95" i="4" s="1"/>
  <c r="AH96" i="4"/>
  <c r="BD96" i="4" s="1"/>
  <c r="AH97" i="4"/>
  <c r="AT97" i="4" s="1"/>
  <c r="AU97" i="4" s="1"/>
  <c r="AH98" i="4"/>
  <c r="AX98" i="4" s="1"/>
  <c r="AH99" i="4"/>
  <c r="AI99" i="4" s="1"/>
  <c r="AD99" i="4" s="1"/>
  <c r="AA12"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O20" i="4"/>
  <c r="CR143" i="4"/>
  <c r="CQ143" i="4"/>
  <c r="CQ141" i="4"/>
  <c r="CQ146" i="4" s="1"/>
  <c r="DW21" i="4"/>
  <c r="DX21" i="4"/>
  <c r="DY21" i="4"/>
  <c r="DZ21" i="4"/>
  <c r="EA21" i="4"/>
  <c r="DW22" i="4"/>
  <c r="DX22" i="4"/>
  <c r="DY22" i="4"/>
  <c r="DZ22" i="4"/>
  <c r="EA22" i="4"/>
  <c r="DW23" i="4"/>
  <c r="DX23" i="4"/>
  <c r="DY23" i="4"/>
  <c r="DZ23" i="4"/>
  <c r="EA23" i="4"/>
  <c r="DW24" i="4"/>
  <c r="DX24" i="4"/>
  <c r="DY24" i="4"/>
  <c r="DZ24" i="4"/>
  <c r="EA24" i="4"/>
  <c r="DW25" i="4"/>
  <c r="DX25" i="4"/>
  <c r="DY25" i="4"/>
  <c r="DZ25" i="4"/>
  <c r="EA25" i="4"/>
  <c r="DW26" i="4"/>
  <c r="DX26" i="4"/>
  <c r="DY26" i="4"/>
  <c r="DZ26" i="4"/>
  <c r="EA26" i="4"/>
  <c r="DW27" i="4"/>
  <c r="DX27" i="4"/>
  <c r="DY27" i="4"/>
  <c r="DZ27" i="4"/>
  <c r="EA27" i="4"/>
  <c r="DW28" i="4"/>
  <c r="DX28" i="4"/>
  <c r="DY28" i="4"/>
  <c r="DZ28" i="4"/>
  <c r="EA28" i="4"/>
  <c r="DW29" i="4"/>
  <c r="DX29" i="4"/>
  <c r="DY29" i="4"/>
  <c r="DZ29" i="4"/>
  <c r="EA29" i="4"/>
  <c r="DW30" i="4"/>
  <c r="DX30" i="4"/>
  <c r="DY30" i="4"/>
  <c r="DZ30" i="4"/>
  <c r="EA30" i="4"/>
  <c r="DW31" i="4"/>
  <c r="DX31" i="4"/>
  <c r="DY31" i="4"/>
  <c r="DZ31" i="4"/>
  <c r="EA31" i="4"/>
  <c r="DW32" i="4"/>
  <c r="DX32" i="4"/>
  <c r="DY32" i="4"/>
  <c r="DZ32" i="4"/>
  <c r="EA32" i="4"/>
  <c r="DW33" i="4"/>
  <c r="DX33" i="4"/>
  <c r="DY33" i="4"/>
  <c r="DZ33" i="4"/>
  <c r="EA33" i="4"/>
  <c r="DW34" i="4"/>
  <c r="DX34" i="4"/>
  <c r="DY34" i="4"/>
  <c r="DZ34" i="4"/>
  <c r="EA34" i="4"/>
  <c r="DW35" i="4"/>
  <c r="DX35" i="4"/>
  <c r="DY35" i="4"/>
  <c r="DZ35" i="4"/>
  <c r="EA35" i="4"/>
  <c r="DW36" i="4"/>
  <c r="DX36" i="4"/>
  <c r="DY36" i="4"/>
  <c r="DZ36" i="4"/>
  <c r="EA36" i="4"/>
  <c r="DW37" i="4"/>
  <c r="DX37" i="4"/>
  <c r="DY37" i="4"/>
  <c r="DZ37" i="4"/>
  <c r="EA37" i="4"/>
  <c r="DW38" i="4"/>
  <c r="DX38" i="4"/>
  <c r="DY38" i="4"/>
  <c r="DZ38" i="4"/>
  <c r="EA38" i="4"/>
  <c r="DW39" i="4"/>
  <c r="DX39" i="4"/>
  <c r="DY39" i="4"/>
  <c r="DZ39" i="4"/>
  <c r="EA39" i="4"/>
  <c r="DW40" i="4"/>
  <c r="DX40" i="4"/>
  <c r="DY40" i="4"/>
  <c r="DZ40" i="4"/>
  <c r="EA40" i="4"/>
  <c r="DW41" i="4"/>
  <c r="DX41" i="4"/>
  <c r="DY41" i="4"/>
  <c r="DZ41" i="4"/>
  <c r="EA41" i="4"/>
  <c r="DW42" i="4"/>
  <c r="DX42" i="4"/>
  <c r="DY42" i="4"/>
  <c r="DZ42" i="4"/>
  <c r="EA42" i="4"/>
  <c r="DW43" i="4"/>
  <c r="DX43" i="4"/>
  <c r="DY43" i="4"/>
  <c r="DZ43" i="4"/>
  <c r="EA43" i="4"/>
  <c r="DW44" i="4"/>
  <c r="DX44" i="4"/>
  <c r="DY44" i="4"/>
  <c r="DZ44" i="4"/>
  <c r="EA44" i="4"/>
  <c r="DW45" i="4"/>
  <c r="DX45" i="4"/>
  <c r="DY45" i="4"/>
  <c r="DZ45" i="4"/>
  <c r="EA45" i="4"/>
  <c r="DW46" i="4"/>
  <c r="DX46" i="4"/>
  <c r="DY46" i="4"/>
  <c r="DZ46" i="4"/>
  <c r="EA46" i="4"/>
  <c r="DW47" i="4"/>
  <c r="DX47" i="4"/>
  <c r="DY47" i="4"/>
  <c r="DZ47" i="4"/>
  <c r="EA47" i="4"/>
  <c r="DW48" i="4"/>
  <c r="DX48" i="4"/>
  <c r="DY48" i="4"/>
  <c r="DZ48" i="4"/>
  <c r="EA48" i="4"/>
  <c r="DW49" i="4"/>
  <c r="DX49" i="4"/>
  <c r="DY49" i="4"/>
  <c r="DZ49" i="4"/>
  <c r="EA49" i="4"/>
  <c r="DW50" i="4"/>
  <c r="DX50" i="4"/>
  <c r="DY50" i="4"/>
  <c r="DZ50" i="4"/>
  <c r="EA50" i="4"/>
  <c r="DW51" i="4"/>
  <c r="DX51" i="4"/>
  <c r="DY51" i="4"/>
  <c r="DZ51" i="4"/>
  <c r="EA51" i="4"/>
  <c r="DW52" i="4"/>
  <c r="DX52" i="4"/>
  <c r="DY52" i="4"/>
  <c r="DZ52" i="4"/>
  <c r="EA52" i="4"/>
  <c r="DW53" i="4"/>
  <c r="DX53" i="4"/>
  <c r="DY53" i="4"/>
  <c r="DZ53" i="4"/>
  <c r="EA53" i="4"/>
  <c r="DW54" i="4"/>
  <c r="DX54" i="4"/>
  <c r="DY54" i="4"/>
  <c r="DZ54" i="4"/>
  <c r="EA54" i="4"/>
  <c r="DW55" i="4"/>
  <c r="DX55" i="4"/>
  <c r="DY55" i="4"/>
  <c r="DZ55" i="4"/>
  <c r="EA55" i="4"/>
  <c r="DW56" i="4"/>
  <c r="DX56" i="4"/>
  <c r="DY56" i="4"/>
  <c r="DZ56" i="4"/>
  <c r="EA56" i="4"/>
  <c r="DW57" i="4"/>
  <c r="DX57" i="4"/>
  <c r="DY57" i="4"/>
  <c r="DZ57" i="4"/>
  <c r="EA57" i="4"/>
  <c r="DW58" i="4"/>
  <c r="DX58" i="4"/>
  <c r="DY58" i="4"/>
  <c r="DZ58" i="4"/>
  <c r="EA58" i="4"/>
  <c r="DW59" i="4"/>
  <c r="DX59" i="4"/>
  <c r="DY59" i="4"/>
  <c r="DZ59" i="4"/>
  <c r="EA59" i="4"/>
  <c r="DW60" i="4"/>
  <c r="DX60" i="4"/>
  <c r="DY60" i="4"/>
  <c r="DZ60" i="4"/>
  <c r="EA60" i="4"/>
  <c r="DW61" i="4"/>
  <c r="DX61" i="4"/>
  <c r="DY61" i="4"/>
  <c r="DZ61" i="4"/>
  <c r="EA61" i="4"/>
  <c r="DW62" i="4"/>
  <c r="DX62" i="4"/>
  <c r="DY62" i="4"/>
  <c r="DZ62" i="4"/>
  <c r="EA62" i="4"/>
  <c r="DW63" i="4"/>
  <c r="DX63" i="4"/>
  <c r="DY63" i="4"/>
  <c r="DZ63" i="4"/>
  <c r="EA63" i="4"/>
  <c r="DW64" i="4"/>
  <c r="DX64" i="4"/>
  <c r="DY64" i="4"/>
  <c r="DZ64" i="4"/>
  <c r="EA64" i="4"/>
  <c r="DW65" i="4"/>
  <c r="DX65" i="4"/>
  <c r="DY65" i="4"/>
  <c r="DZ65" i="4"/>
  <c r="EA65" i="4"/>
  <c r="DW66" i="4"/>
  <c r="DX66" i="4"/>
  <c r="DY66" i="4"/>
  <c r="DZ66" i="4"/>
  <c r="EA66" i="4"/>
  <c r="DW67" i="4"/>
  <c r="DX67" i="4"/>
  <c r="DY67" i="4"/>
  <c r="DZ67" i="4"/>
  <c r="EA67" i="4"/>
  <c r="DW68" i="4"/>
  <c r="DX68" i="4"/>
  <c r="DY68" i="4"/>
  <c r="DZ68" i="4"/>
  <c r="EA68" i="4"/>
  <c r="DW69" i="4"/>
  <c r="DX69" i="4"/>
  <c r="DY69" i="4"/>
  <c r="DZ69" i="4"/>
  <c r="EA69" i="4"/>
  <c r="DW70" i="4"/>
  <c r="DX70" i="4"/>
  <c r="DY70" i="4"/>
  <c r="DZ70" i="4"/>
  <c r="EA70" i="4"/>
  <c r="DW71" i="4"/>
  <c r="DX71" i="4"/>
  <c r="DY71" i="4"/>
  <c r="DZ71" i="4"/>
  <c r="EA71" i="4"/>
  <c r="DW72" i="4"/>
  <c r="DX72" i="4"/>
  <c r="DY72" i="4"/>
  <c r="DZ72" i="4"/>
  <c r="EA72" i="4"/>
  <c r="DW73" i="4"/>
  <c r="DX73" i="4"/>
  <c r="DY73" i="4"/>
  <c r="DZ73" i="4"/>
  <c r="EA73" i="4"/>
  <c r="DW74" i="4"/>
  <c r="DX74" i="4"/>
  <c r="DY74" i="4"/>
  <c r="DZ74" i="4"/>
  <c r="EA74" i="4"/>
  <c r="DW75" i="4"/>
  <c r="DX75" i="4"/>
  <c r="DY75" i="4"/>
  <c r="DZ75" i="4"/>
  <c r="EA75" i="4"/>
  <c r="DW76" i="4"/>
  <c r="DX76" i="4"/>
  <c r="DY76" i="4"/>
  <c r="DZ76" i="4"/>
  <c r="EA76" i="4"/>
  <c r="DW77" i="4"/>
  <c r="DX77" i="4"/>
  <c r="DY77" i="4"/>
  <c r="DZ77" i="4"/>
  <c r="EA77" i="4"/>
  <c r="DW78" i="4"/>
  <c r="DX78" i="4"/>
  <c r="DY78" i="4"/>
  <c r="DZ78" i="4"/>
  <c r="EA78" i="4"/>
  <c r="DW79" i="4"/>
  <c r="DX79" i="4"/>
  <c r="DY79" i="4"/>
  <c r="DZ79" i="4"/>
  <c r="EA79" i="4"/>
  <c r="DW80" i="4"/>
  <c r="DX80" i="4"/>
  <c r="DY80" i="4"/>
  <c r="DZ80" i="4"/>
  <c r="EA80" i="4"/>
  <c r="DW81" i="4"/>
  <c r="DX81" i="4"/>
  <c r="DY81" i="4"/>
  <c r="DZ81" i="4"/>
  <c r="EA81" i="4"/>
  <c r="DW82" i="4"/>
  <c r="DX82" i="4"/>
  <c r="DY82" i="4"/>
  <c r="DZ82" i="4"/>
  <c r="EA82" i="4"/>
  <c r="DW83" i="4"/>
  <c r="DX83" i="4"/>
  <c r="DY83" i="4"/>
  <c r="DZ83" i="4"/>
  <c r="EA83" i="4"/>
  <c r="DW84" i="4"/>
  <c r="DX84" i="4"/>
  <c r="DY84" i="4"/>
  <c r="DZ84" i="4"/>
  <c r="EA84" i="4"/>
  <c r="DW85" i="4"/>
  <c r="DX85" i="4"/>
  <c r="DY85" i="4"/>
  <c r="DZ85" i="4"/>
  <c r="EA85" i="4"/>
  <c r="DW86" i="4"/>
  <c r="DX86" i="4"/>
  <c r="DY86" i="4"/>
  <c r="DZ86" i="4"/>
  <c r="EA86" i="4"/>
  <c r="DW87" i="4"/>
  <c r="DX87" i="4"/>
  <c r="DY87" i="4"/>
  <c r="DZ87" i="4"/>
  <c r="EA87" i="4"/>
  <c r="DW88" i="4"/>
  <c r="DX88" i="4"/>
  <c r="DY88" i="4"/>
  <c r="DZ88" i="4"/>
  <c r="EA88" i="4"/>
  <c r="DW89" i="4"/>
  <c r="DX89" i="4"/>
  <c r="DY89" i="4"/>
  <c r="DZ89" i="4"/>
  <c r="EA89" i="4"/>
  <c r="DW90" i="4"/>
  <c r="DX90" i="4"/>
  <c r="DY90" i="4"/>
  <c r="DZ90" i="4"/>
  <c r="EA90" i="4"/>
  <c r="DW91" i="4"/>
  <c r="DX91" i="4"/>
  <c r="DY91" i="4"/>
  <c r="DZ91" i="4"/>
  <c r="EA91" i="4"/>
  <c r="DW92" i="4"/>
  <c r="DX92" i="4"/>
  <c r="DY92" i="4"/>
  <c r="DZ92" i="4"/>
  <c r="EA92" i="4"/>
  <c r="DW93" i="4"/>
  <c r="DX93" i="4"/>
  <c r="DY93" i="4"/>
  <c r="DZ93" i="4"/>
  <c r="EA93" i="4"/>
  <c r="DW94" i="4"/>
  <c r="DX94" i="4"/>
  <c r="DY94" i="4"/>
  <c r="DZ94" i="4"/>
  <c r="EA94" i="4"/>
  <c r="DW95" i="4"/>
  <c r="DX95" i="4"/>
  <c r="DY95" i="4"/>
  <c r="DZ95" i="4"/>
  <c r="EA95" i="4"/>
  <c r="DW96" i="4"/>
  <c r="DX96" i="4"/>
  <c r="DY96" i="4"/>
  <c r="DZ96" i="4"/>
  <c r="EA96" i="4"/>
  <c r="DW97" i="4"/>
  <c r="DX97" i="4"/>
  <c r="DY97" i="4"/>
  <c r="DZ97" i="4"/>
  <c r="EA97" i="4"/>
  <c r="DW98" i="4"/>
  <c r="DX98" i="4"/>
  <c r="DY98" i="4"/>
  <c r="DZ98" i="4"/>
  <c r="EA98" i="4"/>
  <c r="DW99" i="4"/>
  <c r="DX99" i="4"/>
  <c r="DY99" i="4"/>
  <c r="DZ99" i="4"/>
  <c r="EA99" i="4"/>
  <c r="DX20" i="4"/>
  <c r="DY20" i="4"/>
  <c r="DZ20" i="4"/>
  <c r="EA20" i="4"/>
  <c r="DW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20" i="4"/>
  <c r="AA26" i="8"/>
  <c r="AA25" i="8"/>
  <c r="AA24" i="8"/>
  <c r="AA23" i="8"/>
  <c r="AA22" i="8"/>
  <c r="DC20" i="4"/>
  <c r="O10" i="4"/>
  <c r="O11" i="4"/>
  <c r="V3" i="4"/>
  <c r="AA8" i="4"/>
  <c r="AA7" i="4"/>
  <c r="B20" i="21"/>
  <c r="B19" i="21"/>
  <c r="B18" i="21"/>
  <c r="B17" i="21"/>
  <c r="B16" i="21"/>
  <c r="B15" i="21"/>
  <c r="B14" i="21"/>
  <c r="B13" i="21"/>
  <c r="B12" i="21"/>
  <c r="B11" i="21"/>
  <c r="B10" i="21"/>
  <c r="B9" i="21"/>
  <c r="B8" i="21"/>
  <c r="CV52" i="4"/>
  <c r="CV53" i="4"/>
  <c r="CV54" i="4"/>
  <c r="CV55" i="4"/>
  <c r="CV56" i="4"/>
  <c r="CV57" i="4"/>
  <c r="CV58" i="4"/>
  <c r="CV59" i="4"/>
  <c r="CV60" i="4"/>
  <c r="CV61" i="4"/>
  <c r="CV62" i="4"/>
  <c r="CV63" i="4"/>
  <c r="CV64" i="4"/>
  <c r="CV65" i="4"/>
  <c r="CV66" i="4"/>
  <c r="CV67" i="4"/>
  <c r="CV68" i="4"/>
  <c r="CV69" i="4"/>
  <c r="CV70" i="4"/>
  <c r="CV71" i="4"/>
  <c r="CV72" i="4"/>
  <c r="CV73" i="4"/>
  <c r="CV74" i="4"/>
  <c r="CV75" i="4"/>
  <c r="CV76" i="4"/>
  <c r="CV77" i="4"/>
  <c r="CV78" i="4"/>
  <c r="CV79" i="4"/>
  <c r="CV80" i="4"/>
  <c r="CV81" i="4"/>
  <c r="CV82" i="4"/>
  <c r="CV83" i="4"/>
  <c r="CV84" i="4"/>
  <c r="CV85" i="4"/>
  <c r="CV86" i="4"/>
  <c r="CV87" i="4"/>
  <c r="CV88" i="4"/>
  <c r="CV89" i="4"/>
  <c r="CV90" i="4"/>
  <c r="CV91" i="4"/>
  <c r="CV92" i="4"/>
  <c r="CV93" i="4"/>
  <c r="CV94" i="4"/>
  <c r="CV95" i="4"/>
  <c r="CV96" i="4"/>
  <c r="CV97" i="4"/>
  <c r="CV98" i="4"/>
  <c r="CV99" i="4"/>
  <c r="BH37" i="4"/>
  <c r="BH21" i="4"/>
  <c r="BH22" i="4"/>
  <c r="BH23" i="4"/>
  <c r="BH24" i="4"/>
  <c r="BH25" i="4"/>
  <c r="BH26" i="4"/>
  <c r="BH27" i="4"/>
  <c r="BH28" i="4"/>
  <c r="BH29" i="4"/>
  <c r="BH30" i="4"/>
  <c r="BH31" i="4"/>
  <c r="BH32" i="4"/>
  <c r="BH33" i="4"/>
  <c r="BH34" i="4"/>
  <c r="BH35" i="4"/>
  <c r="BH36" i="4"/>
  <c r="BH38" i="4"/>
  <c r="BH39" i="4"/>
  <c r="BH40" i="4"/>
  <c r="BH41" i="4"/>
  <c r="BH42" i="4"/>
  <c r="BH43" i="4"/>
  <c r="BH44" i="4"/>
  <c r="BH45" i="4"/>
  <c r="BH46" i="4"/>
  <c r="BH47" i="4"/>
  <c r="BH48" i="4"/>
  <c r="BH49" i="4"/>
  <c r="BH50" i="4"/>
  <c r="BH51" i="4"/>
  <c r="BH52" i="4"/>
  <c r="BH53" i="4"/>
  <c r="BH54" i="4"/>
  <c r="BH55" i="4"/>
  <c r="BH56" i="4"/>
  <c r="BH57" i="4"/>
  <c r="BH58" i="4"/>
  <c r="BH59" i="4"/>
  <c r="BH60" i="4"/>
  <c r="BH61" i="4"/>
  <c r="BH62" i="4"/>
  <c r="BH63" i="4"/>
  <c r="BH64" i="4"/>
  <c r="BH65" i="4"/>
  <c r="BH66" i="4"/>
  <c r="BH67" i="4"/>
  <c r="BH68" i="4"/>
  <c r="BH69" i="4"/>
  <c r="BH70" i="4"/>
  <c r="BH71" i="4"/>
  <c r="BH72" i="4"/>
  <c r="BH73" i="4"/>
  <c r="BH74" i="4"/>
  <c r="BH75" i="4"/>
  <c r="BH76" i="4"/>
  <c r="BH77" i="4"/>
  <c r="BH78" i="4"/>
  <c r="BH79" i="4"/>
  <c r="BH80" i="4"/>
  <c r="BH81" i="4"/>
  <c r="BH82" i="4"/>
  <c r="BH83" i="4"/>
  <c r="BH84" i="4"/>
  <c r="BH85" i="4"/>
  <c r="BH86" i="4"/>
  <c r="BH87" i="4"/>
  <c r="BH88" i="4"/>
  <c r="BH89" i="4"/>
  <c r="BH90" i="4"/>
  <c r="BH91" i="4"/>
  <c r="BH92" i="4"/>
  <c r="BH93" i="4"/>
  <c r="BH94" i="4"/>
  <c r="BH95" i="4"/>
  <c r="BH96" i="4"/>
  <c r="BH97" i="4"/>
  <c r="BH98" i="4"/>
  <c r="BH99" i="4"/>
  <c r="BH20" i="4"/>
  <c r="CV17" i="4"/>
  <c r="C8" i="19"/>
  <c r="DE21" i="4"/>
  <c r="DE22" i="4"/>
  <c r="DE23" i="4"/>
  <c r="DE24" i="4"/>
  <c r="DE25" i="4"/>
  <c r="DE26" i="4"/>
  <c r="DE27" i="4"/>
  <c r="DE28" i="4"/>
  <c r="DE29" i="4"/>
  <c r="DE30" i="4"/>
  <c r="DE31" i="4"/>
  <c r="DE32" i="4"/>
  <c r="DE33" i="4"/>
  <c r="DE34" i="4"/>
  <c r="DE35" i="4"/>
  <c r="DE36" i="4"/>
  <c r="DE37" i="4"/>
  <c r="DE38" i="4"/>
  <c r="DE39" i="4"/>
  <c r="DE40" i="4"/>
  <c r="DE41" i="4"/>
  <c r="DE42" i="4"/>
  <c r="DE43" i="4"/>
  <c r="DE44" i="4"/>
  <c r="DE45" i="4"/>
  <c r="DE46" i="4"/>
  <c r="DE47" i="4"/>
  <c r="DE48" i="4"/>
  <c r="DE49" i="4"/>
  <c r="DE50" i="4"/>
  <c r="DE51" i="4"/>
  <c r="DE52" i="4"/>
  <c r="DE53" i="4"/>
  <c r="DE54" i="4"/>
  <c r="DE55" i="4"/>
  <c r="DE56" i="4"/>
  <c r="DE57" i="4"/>
  <c r="DE58" i="4"/>
  <c r="DE59" i="4"/>
  <c r="DE60" i="4"/>
  <c r="DE61" i="4"/>
  <c r="DE62" i="4"/>
  <c r="DE63" i="4"/>
  <c r="DE64" i="4"/>
  <c r="DE65" i="4"/>
  <c r="DE66" i="4"/>
  <c r="DE67" i="4"/>
  <c r="DE68" i="4"/>
  <c r="DE69" i="4"/>
  <c r="DE70" i="4"/>
  <c r="DE71" i="4"/>
  <c r="DE72" i="4"/>
  <c r="DE73" i="4"/>
  <c r="DE74" i="4"/>
  <c r="DE75" i="4"/>
  <c r="DE76" i="4"/>
  <c r="DE77" i="4"/>
  <c r="DE78" i="4"/>
  <c r="DE79" i="4"/>
  <c r="DE80" i="4"/>
  <c r="DE81" i="4"/>
  <c r="DE82" i="4"/>
  <c r="DE83" i="4"/>
  <c r="DE84" i="4"/>
  <c r="DE85" i="4"/>
  <c r="DE86" i="4"/>
  <c r="DE87" i="4"/>
  <c r="DE88" i="4"/>
  <c r="DE89" i="4"/>
  <c r="DE90" i="4"/>
  <c r="DE91" i="4"/>
  <c r="DE92" i="4"/>
  <c r="DE93" i="4"/>
  <c r="DE94" i="4"/>
  <c r="DE95" i="4"/>
  <c r="DE96" i="4"/>
  <c r="DE97" i="4"/>
  <c r="DE98" i="4"/>
  <c r="DE99" i="4"/>
  <c r="DE20" i="4"/>
  <c r="P41" i="8"/>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E13" i="4"/>
  <c r="CS14" i="4"/>
  <c r="CU14" i="4" s="1"/>
  <c r="CU13" i="4"/>
  <c r="CP21" i="4"/>
  <c r="CQ21" i="4"/>
  <c r="CP22" i="4"/>
  <c r="CQ22" i="4"/>
  <c r="CR22" i="4" s="1"/>
  <c r="CS22" i="4" s="1"/>
  <c r="CP23" i="4"/>
  <c r="CQ23" i="4"/>
  <c r="CR23" i="4" s="1"/>
  <c r="CS23" i="4" s="1"/>
  <c r="CP24" i="4"/>
  <c r="CQ24" i="4"/>
  <c r="CR24" i="4" s="1"/>
  <c r="CS24" i="4" s="1"/>
  <c r="CP25" i="4"/>
  <c r="CQ25" i="4"/>
  <c r="CR25" i="4" s="1"/>
  <c r="CS25" i="4" s="1"/>
  <c r="CP26" i="4"/>
  <c r="CQ26" i="4"/>
  <c r="CR26" i="4" s="1"/>
  <c r="CS26" i="4" s="1"/>
  <c r="CP27" i="4"/>
  <c r="CQ27" i="4"/>
  <c r="CR27" i="4" s="1"/>
  <c r="CS27" i="4" s="1"/>
  <c r="CP28" i="4"/>
  <c r="CQ28" i="4"/>
  <c r="CR28" i="4" s="1"/>
  <c r="CS28" i="4" s="1"/>
  <c r="CP29" i="4"/>
  <c r="CQ29" i="4"/>
  <c r="CP30" i="4"/>
  <c r="CQ30" i="4"/>
  <c r="CR30" i="4" s="1"/>
  <c r="CS30" i="4" s="1"/>
  <c r="CP31" i="4"/>
  <c r="CQ31" i="4"/>
  <c r="CR31" i="4" s="1"/>
  <c r="CS31" i="4" s="1"/>
  <c r="CP32" i="4"/>
  <c r="CQ32" i="4"/>
  <c r="CR32" i="4" s="1"/>
  <c r="CS32" i="4" s="1"/>
  <c r="CP33" i="4"/>
  <c r="CQ33" i="4"/>
  <c r="CR33" i="4" s="1"/>
  <c r="CS33" i="4" s="1"/>
  <c r="CP34" i="4"/>
  <c r="CQ34" i="4"/>
  <c r="CR34" i="4" s="1"/>
  <c r="CS34" i="4" s="1"/>
  <c r="CP35" i="4"/>
  <c r="CQ35" i="4"/>
  <c r="CR35" i="4" s="1"/>
  <c r="CS35" i="4" s="1"/>
  <c r="CP36" i="4"/>
  <c r="CQ36" i="4"/>
  <c r="CR36" i="4" s="1"/>
  <c r="CS36" i="4" s="1"/>
  <c r="CP37" i="4"/>
  <c r="CQ37" i="4"/>
  <c r="CR37" i="4" s="1"/>
  <c r="CS37" i="4" s="1"/>
  <c r="CP38" i="4"/>
  <c r="CQ38" i="4"/>
  <c r="CR38" i="4" s="1"/>
  <c r="CS38" i="4" s="1"/>
  <c r="CP39" i="4"/>
  <c r="CQ39" i="4"/>
  <c r="CR39" i="4" s="1"/>
  <c r="CS39" i="4" s="1"/>
  <c r="CP40" i="4"/>
  <c r="CQ40" i="4"/>
  <c r="CR40" i="4" s="1"/>
  <c r="CS40" i="4" s="1"/>
  <c r="CP41" i="4"/>
  <c r="CQ41" i="4"/>
  <c r="CR41" i="4" s="1"/>
  <c r="CS41" i="4" s="1"/>
  <c r="CP42" i="4"/>
  <c r="CQ42" i="4"/>
  <c r="CR42" i="4" s="1"/>
  <c r="CS42" i="4" s="1"/>
  <c r="CP43" i="4"/>
  <c r="CQ43" i="4"/>
  <c r="CR43" i="4" s="1"/>
  <c r="CS43" i="4" s="1"/>
  <c r="CP44" i="4"/>
  <c r="CQ44" i="4"/>
  <c r="CR44" i="4" s="1"/>
  <c r="CS44" i="4" s="1"/>
  <c r="CP45" i="4"/>
  <c r="CQ45" i="4"/>
  <c r="CR45" i="4" s="1"/>
  <c r="CS45" i="4" s="1"/>
  <c r="CP46" i="4"/>
  <c r="CQ46" i="4"/>
  <c r="CR46" i="4" s="1"/>
  <c r="CS46" i="4" s="1"/>
  <c r="CP47" i="4"/>
  <c r="CQ47" i="4"/>
  <c r="CR47" i="4" s="1"/>
  <c r="CS47" i="4" s="1"/>
  <c r="CP48" i="4"/>
  <c r="CQ48" i="4"/>
  <c r="CR48" i="4" s="1"/>
  <c r="CS48" i="4" s="1"/>
  <c r="CP49" i="4"/>
  <c r="CQ49" i="4"/>
  <c r="CR49" i="4" s="1"/>
  <c r="CS49" i="4" s="1"/>
  <c r="CP50" i="4"/>
  <c r="CQ50" i="4"/>
  <c r="CR50" i="4" s="1"/>
  <c r="CS50" i="4" s="1"/>
  <c r="CP51" i="4"/>
  <c r="CQ51" i="4"/>
  <c r="CR51" i="4" s="1"/>
  <c r="CS51" i="4" s="1"/>
  <c r="CP52" i="4"/>
  <c r="CQ52" i="4"/>
  <c r="CR52" i="4" s="1"/>
  <c r="CS52" i="4" s="1"/>
  <c r="CP53" i="4"/>
  <c r="CQ53" i="4"/>
  <c r="CR53" i="4" s="1"/>
  <c r="CS53" i="4" s="1"/>
  <c r="CP54" i="4"/>
  <c r="CQ54" i="4"/>
  <c r="CR54" i="4" s="1"/>
  <c r="CS54" i="4" s="1"/>
  <c r="CP55" i="4"/>
  <c r="CQ55" i="4"/>
  <c r="CR55" i="4" s="1"/>
  <c r="CS55" i="4" s="1"/>
  <c r="CP56" i="4"/>
  <c r="CQ56" i="4"/>
  <c r="CR56" i="4" s="1"/>
  <c r="CS56" i="4" s="1"/>
  <c r="CP57" i="4"/>
  <c r="CQ57" i="4"/>
  <c r="CR57" i="4" s="1"/>
  <c r="CS57" i="4" s="1"/>
  <c r="CP58" i="4"/>
  <c r="CQ58" i="4"/>
  <c r="CR58" i="4" s="1"/>
  <c r="CS58" i="4" s="1"/>
  <c r="CP59" i="4"/>
  <c r="CQ59" i="4"/>
  <c r="CR59" i="4" s="1"/>
  <c r="CS59" i="4" s="1"/>
  <c r="CP60" i="4"/>
  <c r="CQ60" i="4"/>
  <c r="CR60" i="4" s="1"/>
  <c r="CS60" i="4" s="1"/>
  <c r="CP61" i="4"/>
  <c r="CQ61" i="4"/>
  <c r="CR61" i="4" s="1"/>
  <c r="CS61" i="4" s="1"/>
  <c r="CP62" i="4"/>
  <c r="CQ62" i="4"/>
  <c r="CR62" i="4" s="1"/>
  <c r="CS62" i="4" s="1"/>
  <c r="CP63" i="4"/>
  <c r="CQ63" i="4"/>
  <c r="CR63" i="4" s="1"/>
  <c r="CS63" i="4" s="1"/>
  <c r="CP64" i="4"/>
  <c r="CQ64" i="4"/>
  <c r="CR64" i="4" s="1"/>
  <c r="CS64" i="4" s="1"/>
  <c r="CP65" i="4"/>
  <c r="CQ65" i="4"/>
  <c r="CR65" i="4" s="1"/>
  <c r="CS65" i="4" s="1"/>
  <c r="CP66" i="4"/>
  <c r="CQ66" i="4"/>
  <c r="CR66" i="4" s="1"/>
  <c r="CS66" i="4" s="1"/>
  <c r="CP67" i="4"/>
  <c r="CQ67" i="4"/>
  <c r="CR67" i="4" s="1"/>
  <c r="CS67" i="4" s="1"/>
  <c r="CP68" i="4"/>
  <c r="CQ68" i="4"/>
  <c r="CR68" i="4" s="1"/>
  <c r="CS68" i="4" s="1"/>
  <c r="CP69" i="4"/>
  <c r="CQ69" i="4"/>
  <c r="CR69" i="4" s="1"/>
  <c r="CS69" i="4" s="1"/>
  <c r="CP70" i="4"/>
  <c r="CQ70" i="4"/>
  <c r="CR70" i="4" s="1"/>
  <c r="CS70" i="4" s="1"/>
  <c r="CP71" i="4"/>
  <c r="CQ71" i="4"/>
  <c r="CR71" i="4" s="1"/>
  <c r="CS71" i="4" s="1"/>
  <c r="CP72" i="4"/>
  <c r="CQ72" i="4"/>
  <c r="CR72" i="4" s="1"/>
  <c r="CS72" i="4" s="1"/>
  <c r="CP73" i="4"/>
  <c r="CQ73" i="4"/>
  <c r="CR73" i="4" s="1"/>
  <c r="CS73" i="4" s="1"/>
  <c r="CP74" i="4"/>
  <c r="CQ74" i="4"/>
  <c r="CR74" i="4" s="1"/>
  <c r="CS74" i="4" s="1"/>
  <c r="CP75" i="4"/>
  <c r="CQ75" i="4"/>
  <c r="CR75" i="4" s="1"/>
  <c r="CS75" i="4" s="1"/>
  <c r="CP76" i="4"/>
  <c r="CQ76" i="4"/>
  <c r="CR76" i="4" s="1"/>
  <c r="CS76" i="4" s="1"/>
  <c r="CP77" i="4"/>
  <c r="CQ77" i="4"/>
  <c r="CR77" i="4" s="1"/>
  <c r="CS77" i="4" s="1"/>
  <c r="CP78" i="4"/>
  <c r="CQ78" i="4"/>
  <c r="CR78" i="4" s="1"/>
  <c r="CS78" i="4" s="1"/>
  <c r="CP79" i="4"/>
  <c r="CQ79" i="4"/>
  <c r="CR79" i="4" s="1"/>
  <c r="CS79" i="4" s="1"/>
  <c r="CP80" i="4"/>
  <c r="CQ80" i="4"/>
  <c r="CR80" i="4" s="1"/>
  <c r="CS80" i="4" s="1"/>
  <c r="CP81" i="4"/>
  <c r="CQ81" i="4"/>
  <c r="CR81" i="4" s="1"/>
  <c r="CS81" i="4" s="1"/>
  <c r="CP82" i="4"/>
  <c r="CQ82" i="4"/>
  <c r="CR82" i="4" s="1"/>
  <c r="CS82" i="4" s="1"/>
  <c r="CP83" i="4"/>
  <c r="CQ83" i="4"/>
  <c r="CR83" i="4" s="1"/>
  <c r="CS83" i="4" s="1"/>
  <c r="CP84" i="4"/>
  <c r="CQ84" i="4"/>
  <c r="CR84" i="4" s="1"/>
  <c r="CS84" i="4" s="1"/>
  <c r="CP85" i="4"/>
  <c r="CQ85" i="4"/>
  <c r="CR85" i="4" s="1"/>
  <c r="CS85" i="4" s="1"/>
  <c r="CP86" i="4"/>
  <c r="CQ86" i="4"/>
  <c r="CR86" i="4" s="1"/>
  <c r="CS86" i="4" s="1"/>
  <c r="CP87" i="4"/>
  <c r="CQ87" i="4"/>
  <c r="CR87" i="4" s="1"/>
  <c r="CS87" i="4" s="1"/>
  <c r="CP88" i="4"/>
  <c r="CQ88" i="4"/>
  <c r="CR88" i="4" s="1"/>
  <c r="CS88" i="4" s="1"/>
  <c r="CP89" i="4"/>
  <c r="CQ89" i="4"/>
  <c r="CR89" i="4" s="1"/>
  <c r="CS89" i="4" s="1"/>
  <c r="CP90" i="4"/>
  <c r="CQ90" i="4"/>
  <c r="CR90" i="4" s="1"/>
  <c r="CS90" i="4" s="1"/>
  <c r="CP91" i="4"/>
  <c r="CQ91" i="4"/>
  <c r="CR91" i="4" s="1"/>
  <c r="CS91" i="4" s="1"/>
  <c r="CP92" i="4"/>
  <c r="CQ92" i="4"/>
  <c r="CR92" i="4" s="1"/>
  <c r="CS92" i="4" s="1"/>
  <c r="CP93" i="4"/>
  <c r="CQ93" i="4"/>
  <c r="CR93" i="4" s="1"/>
  <c r="CS93" i="4" s="1"/>
  <c r="CP94" i="4"/>
  <c r="CQ94" i="4"/>
  <c r="CR94" i="4" s="1"/>
  <c r="CS94" i="4" s="1"/>
  <c r="CP95" i="4"/>
  <c r="CQ95" i="4"/>
  <c r="CR95" i="4" s="1"/>
  <c r="CS95" i="4" s="1"/>
  <c r="CP96" i="4"/>
  <c r="CQ96" i="4"/>
  <c r="CR96" i="4" s="1"/>
  <c r="CS96" i="4" s="1"/>
  <c r="CP97" i="4"/>
  <c r="CQ97" i="4"/>
  <c r="CR97" i="4" s="1"/>
  <c r="CS97" i="4" s="1"/>
  <c r="CP98" i="4"/>
  <c r="CQ98" i="4"/>
  <c r="CR98" i="4" s="1"/>
  <c r="CS98" i="4" s="1"/>
  <c r="CP99" i="4"/>
  <c r="CQ99" i="4"/>
  <c r="CR99" i="4" s="1"/>
  <c r="CS99" i="4" s="1"/>
  <c r="CP20" i="4"/>
  <c r="CQ20" i="4"/>
  <c r="CR20" i="4" s="1"/>
  <c r="CS20" i="4" s="1"/>
  <c r="AS44" i="8"/>
  <c r="AR44" i="8"/>
  <c r="AQ44" i="8"/>
  <c r="AP44" i="8"/>
  <c r="AO44" i="8"/>
  <c r="AN44" i="8"/>
  <c r="AM44" i="8"/>
  <c r="AL44" i="8"/>
  <c r="AL29" i="8"/>
  <c r="AM29" i="8"/>
  <c r="AN29" i="8"/>
  <c r="AO29" i="8"/>
  <c r="AP29" i="8"/>
  <c r="AQ29" i="8"/>
  <c r="AR29" i="8"/>
  <c r="AS29" i="8"/>
  <c r="AH33" i="8"/>
  <c r="AH34" i="8"/>
  <c r="AH35" i="8"/>
  <c r="AH36" i="8"/>
  <c r="AH37" i="8"/>
  <c r="AH38" i="8"/>
  <c r="AH39" i="8"/>
  <c r="X33" i="8"/>
  <c r="X34" i="8"/>
  <c r="X35" i="8"/>
  <c r="X36" i="8"/>
  <c r="X37" i="8"/>
  <c r="X38" i="8"/>
  <c r="X39" i="8"/>
  <c r="X40" i="8"/>
  <c r="AH22" i="8"/>
  <c r="AH23" i="8"/>
  <c r="AH24" i="8"/>
  <c r="AH25" i="8"/>
  <c r="AH26" i="8"/>
  <c r="X22" i="8"/>
  <c r="X23" i="8"/>
  <c r="X24" i="8"/>
  <c r="X25" i="8"/>
  <c r="X26" i="8"/>
  <c r="X27" i="8"/>
  <c r="AL43" i="8"/>
  <c r="AM43" i="8"/>
  <c r="AN43" i="8"/>
  <c r="AO43" i="8"/>
  <c r="AP43" i="8"/>
  <c r="AQ43" i="8"/>
  <c r="AR43" i="8"/>
  <c r="AS43" i="8"/>
  <c r="AL28" i="8"/>
  <c r="AM28" i="8"/>
  <c r="AN28" i="8"/>
  <c r="AO28" i="8"/>
  <c r="AP28" i="8"/>
  <c r="AQ28" i="8"/>
  <c r="AR28" i="8"/>
  <c r="AS28" i="8"/>
  <c r="AG33" i="8"/>
  <c r="AG34" i="8"/>
  <c r="AG35" i="8"/>
  <c r="AG36" i="8"/>
  <c r="AG37" i="8"/>
  <c r="AG38" i="8"/>
  <c r="AG39" i="8"/>
  <c r="W33" i="8"/>
  <c r="W34" i="8"/>
  <c r="W35" i="8"/>
  <c r="W36" i="8"/>
  <c r="W37" i="8"/>
  <c r="W38" i="8"/>
  <c r="W39" i="8"/>
  <c r="W40" i="8"/>
  <c r="AG22" i="8"/>
  <c r="AG23" i="8"/>
  <c r="AG24" i="8"/>
  <c r="AG25" i="8"/>
  <c r="AG26" i="8"/>
  <c r="W22" i="8"/>
  <c r="W23" i="8"/>
  <c r="W24" i="8"/>
  <c r="W25" i="8"/>
  <c r="W26" i="8"/>
  <c r="W27" i="8"/>
  <c r="AL42" i="8"/>
  <c r="AM42" i="8"/>
  <c r="AN42" i="8"/>
  <c r="AO42" i="8"/>
  <c r="AP42" i="8"/>
  <c r="AQ42" i="8"/>
  <c r="AR42" i="8"/>
  <c r="AS42" i="8"/>
  <c r="AL27" i="8"/>
  <c r="AM27" i="8"/>
  <c r="AN27" i="8"/>
  <c r="AO27" i="8"/>
  <c r="AP27" i="8"/>
  <c r="AQ27" i="8"/>
  <c r="AR27" i="8"/>
  <c r="AS27" i="8"/>
  <c r="AF33" i="8"/>
  <c r="AF34" i="8"/>
  <c r="AF35" i="8"/>
  <c r="AF36" i="8"/>
  <c r="AF37" i="8"/>
  <c r="AF38" i="8"/>
  <c r="AF39" i="8"/>
  <c r="V33" i="8"/>
  <c r="V34" i="8"/>
  <c r="V35" i="8"/>
  <c r="V36" i="8"/>
  <c r="V37" i="8"/>
  <c r="V38" i="8"/>
  <c r="V39" i="8"/>
  <c r="V40" i="8"/>
  <c r="AF22" i="8"/>
  <c r="AF23" i="8"/>
  <c r="AF24" i="8"/>
  <c r="AF25" i="8"/>
  <c r="AF26" i="8"/>
  <c r="V22" i="8"/>
  <c r="V23" i="8"/>
  <c r="V24" i="8"/>
  <c r="V25" i="8"/>
  <c r="V26" i="8"/>
  <c r="V27" i="8"/>
  <c r="AL41" i="8"/>
  <c r="AM41" i="8"/>
  <c r="AN41" i="8"/>
  <c r="AO41" i="8"/>
  <c r="AP41" i="8"/>
  <c r="AQ41" i="8"/>
  <c r="AR41" i="8"/>
  <c r="AS41" i="8"/>
  <c r="AL26" i="8"/>
  <c r="AM26" i="8"/>
  <c r="AN26" i="8"/>
  <c r="AO26" i="8"/>
  <c r="AP26" i="8"/>
  <c r="AQ26" i="8"/>
  <c r="AR26" i="8"/>
  <c r="AS26" i="8"/>
  <c r="AE33" i="8"/>
  <c r="AE34" i="8"/>
  <c r="AE35" i="8"/>
  <c r="AE36" i="8"/>
  <c r="AE37" i="8"/>
  <c r="AE38" i="8"/>
  <c r="AE39" i="8"/>
  <c r="U33" i="8"/>
  <c r="U34" i="8"/>
  <c r="U35" i="8"/>
  <c r="U36" i="8"/>
  <c r="U37" i="8"/>
  <c r="U38" i="8"/>
  <c r="U39" i="8"/>
  <c r="U40" i="8"/>
  <c r="AE22" i="8"/>
  <c r="AE23" i="8"/>
  <c r="AE24" i="8"/>
  <c r="AE25" i="8"/>
  <c r="AE26" i="8"/>
  <c r="U22" i="8"/>
  <c r="U23" i="8"/>
  <c r="U24" i="8"/>
  <c r="U25" i="8"/>
  <c r="U26" i="8"/>
  <c r="U27" i="8"/>
  <c r="AL40" i="8"/>
  <c r="AM40" i="8"/>
  <c r="AN40" i="8"/>
  <c r="AO40" i="8"/>
  <c r="AP40" i="8"/>
  <c r="AQ40" i="8"/>
  <c r="AR40" i="8"/>
  <c r="AS40" i="8"/>
  <c r="AL25" i="8"/>
  <c r="AM25" i="8"/>
  <c r="AN25" i="8"/>
  <c r="AO25" i="8"/>
  <c r="AP25" i="8"/>
  <c r="AQ25" i="8"/>
  <c r="AR25" i="8"/>
  <c r="AS25" i="8"/>
  <c r="AD33" i="8"/>
  <c r="AD34" i="8"/>
  <c r="AD35" i="8"/>
  <c r="AD36" i="8"/>
  <c r="AD37" i="8"/>
  <c r="AD38" i="8"/>
  <c r="AD39" i="8"/>
  <c r="T33" i="8"/>
  <c r="T34" i="8"/>
  <c r="T35" i="8"/>
  <c r="T36" i="8"/>
  <c r="T37" i="8"/>
  <c r="T38" i="8"/>
  <c r="T39" i="8"/>
  <c r="T40" i="8"/>
  <c r="AD22" i="8"/>
  <c r="AD23" i="8"/>
  <c r="AD24" i="8"/>
  <c r="AD25" i="8"/>
  <c r="AD26" i="8"/>
  <c r="T22" i="8"/>
  <c r="T23" i="8"/>
  <c r="T24" i="8"/>
  <c r="T25" i="8"/>
  <c r="T26" i="8"/>
  <c r="T27" i="8"/>
  <c r="AL39" i="8"/>
  <c r="AM39" i="8"/>
  <c r="AN39" i="8"/>
  <c r="AO39" i="8"/>
  <c r="AP39" i="8"/>
  <c r="AQ39" i="8"/>
  <c r="AR39" i="8"/>
  <c r="AS39" i="8"/>
  <c r="AL24" i="8"/>
  <c r="AM24" i="8"/>
  <c r="AN24" i="8"/>
  <c r="AO24" i="8"/>
  <c r="AP24" i="8"/>
  <c r="AQ24" i="8"/>
  <c r="AR24" i="8"/>
  <c r="AS24" i="8"/>
  <c r="AC33" i="8"/>
  <c r="AC34" i="8"/>
  <c r="AC35" i="8"/>
  <c r="AC36" i="8"/>
  <c r="AC37" i="8"/>
  <c r="AC38" i="8"/>
  <c r="AC39" i="8"/>
  <c r="S33" i="8"/>
  <c r="S34" i="8"/>
  <c r="S35" i="8"/>
  <c r="S36" i="8"/>
  <c r="S37" i="8"/>
  <c r="S38" i="8"/>
  <c r="S39" i="8"/>
  <c r="S40" i="8"/>
  <c r="AC22" i="8"/>
  <c r="AC23" i="8"/>
  <c r="AC24" i="8"/>
  <c r="AC25" i="8"/>
  <c r="AC26" i="8"/>
  <c r="S22" i="8"/>
  <c r="S23" i="8"/>
  <c r="S24" i="8"/>
  <c r="S25" i="8"/>
  <c r="S26" i="8"/>
  <c r="S27" i="8"/>
  <c r="L37" i="8"/>
  <c r="L38" i="8"/>
  <c r="L39" i="8"/>
  <c r="L40" i="8"/>
  <c r="L35" i="8"/>
  <c r="L19" i="8"/>
  <c r="L20" i="8"/>
  <c r="L21" i="8"/>
  <c r="L22" i="8"/>
  <c r="L17" i="8"/>
  <c r="K37" i="8"/>
  <c r="K38" i="8"/>
  <c r="K39" i="8"/>
  <c r="K40" i="8"/>
  <c r="K19" i="8"/>
  <c r="K20" i="8"/>
  <c r="K21" i="8"/>
  <c r="K22" i="8"/>
  <c r="J37" i="8"/>
  <c r="J38" i="8"/>
  <c r="J39" i="8"/>
  <c r="J40" i="8"/>
  <c r="J35" i="8"/>
  <c r="J19" i="8"/>
  <c r="J20" i="8"/>
  <c r="J21" i="8"/>
  <c r="J22" i="8"/>
  <c r="J17" i="8"/>
  <c r="I37" i="8"/>
  <c r="I38" i="8"/>
  <c r="I39" i="8"/>
  <c r="I40" i="8"/>
  <c r="I35" i="8"/>
  <c r="I19" i="8"/>
  <c r="I20" i="8"/>
  <c r="I21" i="8"/>
  <c r="I22" i="8"/>
  <c r="I17" i="8"/>
  <c r="H37" i="8"/>
  <c r="H38" i="8"/>
  <c r="H39" i="8"/>
  <c r="H40" i="8"/>
  <c r="H35" i="8"/>
  <c r="H19" i="8"/>
  <c r="H20" i="8"/>
  <c r="H21" i="8"/>
  <c r="H22" i="8"/>
  <c r="H17" i="8"/>
  <c r="G37" i="8"/>
  <c r="G38" i="8"/>
  <c r="G39" i="8"/>
  <c r="G40" i="8"/>
  <c r="G35" i="8"/>
  <c r="G19" i="8"/>
  <c r="G20" i="8"/>
  <c r="G21" i="8"/>
  <c r="G22" i="8"/>
  <c r="G17" i="8"/>
  <c r="CF141" i="8"/>
  <c r="CG141" i="8"/>
  <c r="CH141" i="8"/>
  <c r="CI141" i="8"/>
  <c r="CJ141" i="8"/>
  <c r="CK141" i="8"/>
  <c r="CL141" i="8"/>
  <c r="CM141" i="8"/>
  <c r="CF142" i="8"/>
  <c r="CG142" i="8"/>
  <c r="CH142" i="8"/>
  <c r="CI142" i="8"/>
  <c r="CJ142" i="8"/>
  <c r="CK142" i="8"/>
  <c r="CL142" i="8"/>
  <c r="CM142" i="8"/>
  <c r="CF143" i="8"/>
  <c r="CG143" i="8"/>
  <c r="CH143" i="8"/>
  <c r="CI143" i="8"/>
  <c r="CJ143" i="8"/>
  <c r="CK143" i="8"/>
  <c r="CL143" i="8"/>
  <c r="CM143" i="8"/>
  <c r="CF144" i="8"/>
  <c r="CG144" i="8"/>
  <c r="CH144" i="8"/>
  <c r="CI144" i="8"/>
  <c r="CJ144" i="8"/>
  <c r="CK144" i="8"/>
  <c r="CL144" i="8"/>
  <c r="CM144" i="8"/>
  <c r="CF145" i="8"/>
  <c r="CG145" i="8"/>
  <c r="CH145" i="8"/>
  <c r="CI145" i="8"/>
  <c r="CJ145" i="8"/>
  <c r="CK145" i="8"/>
  <c r="CL145" i="8"/>
  <c r="CM145" i="8"/>
  <c r="CF146" i="8"/>
  <c r="CG146" i="8"/>
  <c r="CH146" i="8"/>
  <c r="CI146" i="8"/>
  <c r="CJ146" i="8"/>
  <c r="CK146" i="8"/>
  <c r="CL146" i="8"/>
  <c r="CM146" i="8"/>
  <c r="CF147" i="8"/>
  <c r="CG147" i="8"/>
  <c r="CH147" i="8"/>
  <c r="CI147" i="8"/>
  <c r="CJ147" i="8"/>
  <c r="CK147" i="8"/>
  <c r="CL147" i="8"/>
  <c r="CM147" i="8"/>
  <c r="CF148" i="8"/>
  <c r="CG148" i="8"/>
  <c r="CH148" i="8"/>
  <c r="CI148" i="8"/>
  <c r="CJ148" i="8"/>
  <c r="CK148" i="8"/>
  <c r="CL148" i="8"/>
  <c r="CM148" i="8"/>
  <c r="CF149" i="8"/>
  <c r="CG149" i="8"/>
  <c r="CH149" i="8"/>
  <c r="CI149" i="8"/>
  <c r="CJ149" i="8"/>
  <c r="CK149" i="8"/>
  <c r="CL149" i="8"/>
  <c r="CM149" i="8"/>
  <c r="CF150" i="8"/>
  <c r="CG150" i="8"/>
  <c r="CH150" i="8"/>
  <c r="CI150" i="8"/>
  <c r="CJ150" i="8"/>
  <c r="CK150" i="8"/>
  <c r="CL150" i="8"/>
  <c r="CM150" i="8"/>
  <c r="CF151" i="8"/>
  <c r="CG151" i="8"/>
  <c r="CH151" i="8"/>
  <c r="CI151" i="8"/>
  <c r="CJ151" i="8"/>
  <c r="CK151" i="8"/>
  <c r="CL151" i="8"/>
  <c r="CM151" i="8"/>
  <c r="CF152" i="8"/>
  <c r="CG152" i="8"/>
  <c r="CH152" i="8"/>
  <c r="CI152" i="8"/>
  <c r="CJ152" i="8"/>
  <c r="CK152" i="8"/>
  <c r="CL152" i="8"/>
  <c r="CM152" i="8"/>
  <c r="CF153" i="8"/>
  <c r="CG153" i="8"/>
  <c r="CH153" i="8"/>
  <c r="CI153" i="8"/>
  <c r="CJ153" i="8"/>
  <c r="CK153" i="8"/>
  <c r="CL153" i="8"/>
  <c r="CM153" i="8"/>
  <c r="CF117" i="8"/>
  <c r="CG117" i="8"/>
  <c r="CH117" i="8"/>
  <c r="CI117" i="8"/>
  <c r="CJ117" i="8"/>
  <c r="CK117" i="8"/>
  <c r="CL117" i="8"/>
  <c r="CM117" i="8"/>
  <c r="CF118" i="8"/>
  <c r="CG118" i="8"/>
  <c r="CH118" i="8"/>
  <c r="CI118" i="8"/>
  <c r="CJ118" i="8"/>
  <c r="CK118" i="8"/>
  <c r="CL118" i="8"/>
  <c r="CM118" i="8"/>
  <c r="CF119" i="8"/>
  <c r="CG119" i="8"/>
  <c r="CH119" i="8"/>
  <c r="CI119" i="8"/>
  <c r="CJ119" i="8"/>
  <c r="CK119" i="8"/>
  <c r="CL119" i="8"/>
  <c r="CM119" i="8"/>
  <c r="CF120" i="8"/>
  <c r="CG120" i="8"/>
  <c r="CH120" i="8"/>
  <c r="CI120" i="8"/>
  <c r="CJ120" i="8"/>
  <c r="CK120" i="8"/>
  <c r="CL120" i="8"/>
  <c r="CM120" i="8"/>
  <c r="CF121" i="8"/>
  <c r="CG121" i="8"/>
  <c r="CH121" i="8"/>
  <c r="CI121" i="8"/>
  <c r="CJ121" i="8"/>
  <c r="CK121" i="8"/>
  <c r="CL121" i="8"/>
  <c r="CM121" i="8"/>
  <c r="CF122" i="8"/>
  <c r="CG122" i="8"/>
  <c r="CH122" i="8"/>
  <c r="CI122" i="8"/>
  <c r="CJ122" i="8"/>
  <c r="CK122" i="8"/>
  <c r="CL122" i="8"/>
  <c r="CM122" i="8"/>
  <c r="CF123" i="8"/>
  <c r="CG123" i="8"/>
  <c r="CH123" i="8"/>
  <c r="CI123" i="8"/>
  <c r="CJ123" i="8"/>
  <c r="CK123" i="8"/>
  <c r="CL123" i="8"/>
  <c r="CM123" i="8"/>
  <c r="CF124" i="8"/>
  <c r="CG124" i="8"/>
  <c r="CH124" i="8"/>
  <c r="CI124" i="8"/>
  <c r="CJ124" i="8"/>
  <c r="CK124" i="8"/>
  <c r="CL124" i="8"/>
  <c r="CM124" i="8"/>
  <c r="CF125" i="8"/>
  <c r="CG125" i="8"/>
  <c r="CH125" i="8"/>
  <c r="CI125" i="8"/>
  <c r="CJ125" i="8"/>
  <c r="CK125" i="8"/>
  <c r="CL125" i="8"/>
  <c r="CM125" i="8"/>
  <c r="CF126" i="8"/>
  <c r="CG126" i="8"/>
  <c r="CH126" i="8"/>
  <c r="CI126" i="8"/>
  <c r="CJ126" i="8"/>
  <c r="CK126" i="8"/>
  <c r="CL126" i="8"/>
  <c r="CM126" i="8"/>
  <c r="CF127" i="8"/>
  <c r="CG127" i="8"/>
  <c r="CH127" i="8"/>
  <c r="CI127" i="8"/>
  <c r="CJ127" i="8"/>
  <c r="CK127" i="8"/>
  <c r="CL127" i="8"/>
  <c r="CM127" i="8"/>
  <c r="CF128" i="8"/>
  <c r="CG128" i="8"/>
  <c r="CH128" i="8"/>
  <c r="CI128" i="8"/>
  <c r="CJ128" i="8"/>
  <c r="CK128" i="8"/>
  <c r="CL128" i="8"/>
  <c r="CM128" i="8"/>
  <c r="CF129" i="8"/>
  <c r="CG129" i="8"/>
  <c r="CH129" i="8"/>
  <c r="CI129" i="8"/>
  <c r="CJ129" i="8"/>
  <c r="CK129" i="8"/>
  <c r="CL129" i="8"/>
  <c r="CM129" i="8"/>
  <c r="CF95" i="8"/>
  <c r="CG95" i="8"/>
  <c r="CH95" i="8"/>
  <c r="CI95" i="8"/>
  <c r="CJ95" i="8"/>
  <c r="CK95" i="8"/>
  <c r="CL95" i="8"/>
  <c r="CM95" i="8"/>
  <c r="CF96" i="8"/>
  <c r="CG96" i="8"/>
  <c r="CH96" i="8"/>
  <c r="CI96" i="8"/>
  <c r="CJ96" i="8"/>
  <c r="CK96" i="8"/>
  <c r="CL96" i="8"/>
  <c r="CM96" i="8"/>
  <c r="CF97" i="8"/>
  <c r="CG97" i="8"/>
  <c r="CH97" i="8"/>
  <c r="CI97" i="8"/>
  <c r="CJ97" i="8"/>
  <c r="CK97" i="8"/>
  <c r="CL97" i="8"/>
  <c r="CM97" i="8"/>
  <c r="CF98" i="8"/>
  <c r="CG98" i="8"/>
  <c r="CH98" i="8"/>
  <c r="CI98" i="8"/>
  <c r="CJ98" i="8"/>
  <c r="CK98" i="8"/>
  <c r="CL98" i="8"/>
  <c r="CM98" i="8"/>
  <c r="CF99" i="8"/>
  <c r="CG99" i="8"/>
  <c r="CH99" i="8"/>
  <c r="CI99" i="8"/>
  <c r="CJ99" i="8"/>
  <c r="CK99" i="8"/>
  <c r="CL99" i="8"/>
  <c r="CM99" i="8"/>
  <c r="CF100" i="8"/>
  <c r="CG100" i="8"/>
  <c r="CH100" i="8"/>
  <c r="CI100" i="8"/>
  <c r="CJ100" i="8"/>
  <c r="CK100" i="8"/>
  <c r="CL100" i="8"/>
  <c r="CM100" i="8"/>
  <c r="CF101" i="8"/>
  <c r="CG101" i="8"/>
  <c r="CH101" i="8"/>
  <c r="CI101" i="8"/>
  <c r="CJ101" i="8"/>
  <c r="CK101" i="8"/>
  <c r="CL101" i="8"/>
  <c r="CM101" i="8"/>
  <c r="CF102" i="8"/>
  <c r="CG102" i="8"/>
  <c r="CH102" i="8"/>
  <c r="CI102" i="8"/>
  <c r="CJ102" i="8"/>
  <c r="CK102" i="8"/>
  <c r="CL102" i="8"/>
  <c r="CM102" i="8"/>
  <c r="CF103" i="8"/>
  <c r="CG103" i="8"/>
  <c r="CH103" i="8"/>
  <c r="CI103" i="8"/>
  <c r="CJ103" i="8"/>
  <c r="CK103" i="8"/>
  <c r="CL103" i="8"/>
  <c r="CM103" i="8"/>
  <c r="CF104" i="8"/>
  <c r="CG104" i="8"/>
  <c r="CH104" i="8"/>
  <c r="CI104" i="8"/>
  <c r="CJ104" i="8"/>
  <c r="CK104" i="8"/>
  <c r="CL104" i="8"/>
  <c r="CM104" i="8"/>
  <c r="CF105" i="8"/>
  <c r="CG105" i="8"/>
  <c r="CH105" i="8"/>
  <c r="CI105" i="8"/>
  <c r="CJ105" i="8"/>
  <c r="CK105" i="8"/>
  <c r="CL105" i="8"/>
  <c r="CM105" i="8"/>
  <c r="CF106" i="8"/>
  <c r="CG106" i="8"/>
  <c r="CH106" i="8"/>
  <c r="CI106" i="8"/>
  <c r="CJ106" i="8"/>
  <c r="CK106" i="8"/>
  <c r="CL106" i="8"/>
  <c r="CM106" i="8"/>
  <c r="CF107" i="8"/>
  <c r="CG107" i="8"/>
  <c r="CH107" i="8"/>
  <c r="CI107" i="8"/>
  <c r="CJ107" i="8"/>
  <c r="CK107" i="8"/>
  <c r="CL107" i="8"/>
  <c r="CM107" i="8"/>
  <c r="CF71" i="8"/>
  <c r="CG71" i="8"/>
  <c r="CH71" i="8"/>
  <c r="CI71" i="8"/>
  <c r="CJ71" i="8"/>
  <c r="CK71" i="8"/>
  <c r="CL71" i="8"/>
  <c r="CM71" i="8"/>
  <c r="CF72" i="8"/>
  <c r="CG72" i="8"/>
  <c r="CH72" i="8"/>
  <c r="CI72" i="8"/>
  <c r="CJ72" i="8"/>
  <c r="CK72" i="8"/>
  <c r="CL72" i="8"/>
  <c r="CM72" i="8"/>
  <c r="CF73" i="8"/>
  <c r="CG73" i="8"/>
  <c r="CH73" i="8"/>
  <c r="CI73" i="8"/>
  <c r="CJ73" i="8"/>
  <c r="CK73" i="8"/>
  <c r="CL73" i="8"/>
  <c r="CM73" i="8"/>
  <c r="CF74" i="8"/>
  <c r="CG74" i="8"/>
  <c r="CH74" i="8"/>
  <c r="CI74" i="8"/>
  <c r="CJ74" i="8"/>
  <c r="CK74" i="8"/>
  <c r="CL74" i="8"/>
  <c r="CM74" i="8"/>
  <c r="CF75" i="8"/>
  <c r="CG75" i="8"/>
  <c r="CH75" i="8"/>
  <c r="CI75" i="8"/>
  <c r="CJ75" i="8"/>
  <c r="CK75" i="8"/>
  <c r="CL75" i="8"/>
  <c r="CM75" i="8"/>
  <c r="CF76" i="8"/>
  <c r="CG76" i="8"/>
  <c r="CH76" i="8"/>
  <c r="CI76" i="8"/>
  <c r="CJ76" i="8"/>
  <c r="CK76" i="8"/>
  <c r="CL76" i="8"/>
  <c r="CM76" i="8"/>
  <c r="CF77" i="8"/>
  <c r="CG77" i="8"/>
  <c r="CH77" i="8"/>
  <c r="CI77" i="8"/>
  <c r="CJ77" i="8"/>
  <c r="CK77" i="8"/>
  <c r="CL77" i="8"/>
  <c r="CM77" i="8"/>
  <c r="CF78" i="8"/>
  <c r="CG78" i="8"/>
  <c r="CH78" i="8"/>
  <c r="CI78" i="8"/>
  <c r="CJ78" i="8"/>
  <c r="CK78" i="8"/>
  <c r="CL78" i="8"/>
  <c r="CM78" i="8"/>
  <c r="CF79" i="8"/>
  <c r="CG79" i="8"/>
  <c r="CH79" i="8"/>
  <c r="CI79" i="8"/>
  <c r="CJ79" i="8"/>
  <c r="CK79" i="8"/>
  <c r="CL79" i="8"/>
  <c r="CM79" i="8"/>
  <c r="CF80" i="8"/>
  <c r="CG80" i="8"/>
  <c r="CH80" i="8"/>
  <c r="CI80" i="8"/>
  <c r="CJ80" i="8"/>
  <c r="CK80" i="8"/>
  <c r="CL80" i="8"/>
  <c r="CM80" i="8"/>
  <c r="CF81" i="8"/>
  <c r="CG81" i="8"/>
  <c r="CH81" i="8"/>
  <c r="CI81" i="8"/>
  <c r="CJ81" i="8"/>
  <c r="CK81" i="8"/>
  <c r="CL81" i="8"/>
  <c r="CM81" i="8"/>
  <c r="CF82" i="8"/>
  <c r="CG82" i="8"/>
  <c r="CH82" i="8"/>
  <c r="CI82" i="8"/>
  <c r="CJ82" i="8"/>
  <c r="CK82" i="8"/>
  <c r="CL82" i="8"/>
  <c r="CM82" i="8"/>
  <c r="CF83" i="8"/>
  <c r="CG83" i="8"/>
  <c r="CH83" i="8"/>
  <c r="CI83" i="8"/>
  <c r="CJ83" i="8"/>
  <c r="CK83" i="8"/>
  <c r="CL83" i="8"/>
  <c r="CM83" i="8"/>
  <c r="BV141" i="8"/>
  <c r="BW141" i="8"/>
  <c r="BX141" i="8"/>
  <c r="BY141" i="8"/>
  <c r="BZ141" i="8"/>
  <c r="CA141" i="8"/>
  <c r="CB141" i="8"/>
  <c r="CC141" i="8"/>
  <c r="BV142" i="8"/>
  <c r="BW142" i="8"/>
  <c r="BX142" i="8"/>
  <c r="BY142" i="8"/>
  <c r="BZ142" i="8"/>
  <c r="CA142" i="8"/>
  <c r="CB142" i="8"/>
  <c r="CC142" i="8"/>
  <c r="BV143" i="8"/>
  <c r="BW143" i="8"/>
  <c r="BX143" i="8"/>
  <c r="BY143" i="8"/>
  <c r="BZ143" i="8"/>
  <c r="CA143" i="8"/>
  <c r="CB143" i="8"/>
  <c r="CC143" i="8"/>
  <c r="BV144" i="8"/>
  <c r="BW144" i="8"/>
  <c r="BX144" i="8"/>
  <c r="BY144" i="8"/>
  <c r="BZ144" i="8"/>
  <c r="CA144" i="8"/>
  <c r="CB144" i="8"/>
  <c r="CC144" i="8"/>
  <c r="BV145" i="8"/>
  <c r="BW145" i="8"/>
  <c r="BX145" i="8"/>
  <c r="BY145" i="8"/>
  <c r="BZ145" i="8"/>
  <c r="CA145" i="8"/>
  <c r="CB145" i="8"/>
  <c r="CC145" i="8"/>
  <c r="BV146" i="8"/>
  <c r="BW146" i="8"/>
  <c r="BX146" i="8"/>
  <c r="BY146" i="8"/>
  <c r="BZ146" i="8"/>
  <c r="CA146" i="8"/>
  <c r="CB146" i="8"/>
  <c r="CC146" i="8"/>
  <c r="BV147" i="8"/>
  <c r="BW147" i="8"/>
  <c r="BX147" i="8"/>
  <c r="BY147" i="8"/>
  <c r="BZ147" i="8"/>
  <c r="CA147" i="8"/>
  <c r="CB147" i="8"/>
  <c r="CC147" i="8"/>
  <c r="BV148" i="8"/>
  <c r="BW148" i="8"/>
  <c r="BX148" i="8"/>
  <c r="BY148" i="8"/>
  <c r="BZ148" i="8"/>
  <c r="CA148" i="8"/>
  <c r="CB148" i="8"/>
  <c r="CC148" i="8"/>
  <c r="BV149" i="8"/>
  <c r="BW149" i="8"/>
  <c r="BX149" i="8"/>
  <c r="BY149" i="8"/>
  <c r="BZ149" i="8"/>
  <c r="CA149" i="8"/>
  <c r="CB149" i="8"/>
  <c r="CC149" i="8"/>
  <c r="BV150" i="8"/>
  <c r="BW150" i="8"/>
  <c r="BX150" i="8"/>
  <c r="BY150" i="8"/>
  <c r="BZ150" i="8"/>
  <c r="CA150" i="8"/>
  <c r="CB150" i="8"/>
  <c r="CC150" i="8"/>
  <c r="BV151" i="8"/>
  <c r="BW151" i="8"/>
  <c r="BX151" i="8"/>
  <c r="BY151" i="8"/>
  <c r="BZ151" i="8"/>
  <c r="CA151" i="8"/>
  <c r="CB151" i="8"/>
  <c r="CC151" i="8"/>
  <c r="BV152" i="8"/>
  <c r="BW152" i="8"/>
  <c r="BX152" i="8"/>
  <c r="BY152" i="8"/>
  <c r="BZ152" i="8"/>
  <c r="CA152" i="8"/>
  <c r="CB152" i="8"/>
  <c r="CC152" i="8"/>
  <c r="BV153" i="8"/>
  <c r="BW153" i="8"/>
  <c r="BX153" i="8"/>
  <c r="BY153" i="8"/>
  <c r="BZ153" i="8"/>
  <c r="CA153" i="8"/>
  <c r="CB153" i="8"/>
  <c r="CC153" i="8"/>
  <c r="BV117" i="8"/>
  <c r="BW117" i="8"/>
  <c r="BX117" i="8"/>
  <c r="BY117" i="8"/>
  <c r="BZ117" i="8"/>
  <c r="CA117" i="8"/>
  <c r="CB117" i="8"/>
  <c r="CC117" i="8"/>
  <c r="BV118" i="8"/>
  <c r="BW118" i="8"/>
  <c r="BX118" i="8"/>
  <c r="BY118" i="8"/>
  <c r="BZ118" i="8"/>
  <c r="CA118" i="8"/>
  <c r="CB118" i="8"/>
  <c r="CC118" i="8"/>
  <c r="BV119" i="8"/>
  <c r="BW119" i="8"/>
  <c r="BX119" i="8"/>
  <c r="BY119" i="8"/>
  <c r="BZ119" i="8"/>
  <c r="CA119" i="8"/>
  <c r="CB119" i="8"/>
  <c r="CC119" i="8"/>
  <c r="BV120" i="8"/>
  <c r="BW120" i="8"/>
  <c r="BX120" i="8"/>
  <c r="BY120" i="8"/>
  <c r="BZ120" i="8"/>
  <c r="CA120" i="8"/>
  <c r="CB120" i="8"/>
  <c r="CC120" i="8"/>
  <c r="BV121" i="8"/>
  <c r="BW121" i="8"/>
  <c r="BX121" i="8"/>
  <c r="BY121" i="8"/>
  <c r="BZ121" i="8"/>
  <c r="CA121" i="8"/>
  <c r="CB121" i="8"/>
  <c r="CC121" i="8"/>
  <c r="BV122" i="8"/>
  <c r="BW122" i="8"/>
  <c r="BX122" i="8"/>
  <c r="BY122" i="8"/>
  <c r="BZ122" i="8"/>
  <c r="CA122" i="8"/>
  <c r="CB122" i="8"/>
  <c r="CC122" i="8"/>
  <c r="BV123" i="8"/>
  <c r="BW123" i="8"/>
  <c r="BX123" i="8"/>
  <c r="BY123" i="8"/>
  <c r="BZ123" i="8"/>
  <c r="CA123" i="8"/>
  <c r="CB123" i="8"/>
  <c r="CC123" i="8"/>
  <c r="BV124" i="8"/>
  <c r="BW124" i="8"/>
  <c r="BX124" i="8"/>
  <c r="BY124" i="8"/>
  <c r="BZ124" i="8"/>
  <c r="CA124" i="8"/>
  <c r="CB124" i="8"/>
  <c r="CC124" i="8"/>
  <c r="BV125" i="8"/>
  <c r="BW125" i="8"/>
  <c r="BX125" i="8"/>
  <c r="BY125" i="8"/>
  <c r="BZ125" i="8"/>
  <c r="CA125" i="8"/>
  <c r="CB125" i="8"/>
  <c r="CC125" i="8"/>
  <c r="BV126" i="8"/>
  <c r="BW126" i="8"/>
  <c r="BX126" i="8"/>
  <c r="BY126" i="8"/>
  <c r="BZ126" i="8"/>
  <c r="CA126" i="8"/>
  <c r="CB126" i="8"/>
  <c r="CC126" i="8"/>
  <c r="BV127" i="8"/>
  <c r="BW127" i="8"/>
  <c r="BX127" i="8"/>
  <c r="BY127" i="8"/>
  <c r="BZ127" i="8"/>
  <c r="CA127" i="8"/>
  <c r="CB127" i="8"/>
  <c r="CC127" i="8"/>
  <c r="BV128" i="8"/>
  <c r="BW128" i="8"/>
  <c r="BX128" i="8"/>
  <c r="BY128" i="8"/>
  <c r="BZ128" i="8"/>
  <c r="CA128" i="8"/>
  <c r="CB128" i="8"/>
  <c r="CC128" i="8"/>
  <c r="BV129" i="8"/>
  <c r="BW129" i="8"/>
  <c r="BX129" i="8"/>
  <c r="BY129" i="8"/>
  <c r="BZ129" i="8"/>
  <c r="CA129" i="8"/>
  <c r="CB129" i="8"/>
  <c r="CC129" i="8"/>
  <c r="BV95" i="8"/>
  <c r="BW95" i="8"/>
  <c r="BX95" i="8"/>
  <c r="BY95" i="8"/>
  <c r="BZ95" i="8"/>
  <c r="CA95" i="8"/>
  <c r="CB95" i="8"/>
  <c r="CC95" i="8"/>
  <c r="BV96" i="8"/>
  <c r="BW96" i="8"/>
  <c r="BX96" i="8"/>
  <c r="BY96" i="8"/>
  <c r="BZ96" i="8"/>
  <c r="CA96" i="8"/>
  <c r="CB96" i="8"/>
  <c r="CC96" i="8"/>
  <c r="BV97" i="8"/>
  <c r="BW97" i="8"/>
  <c r="BX97" i="8"/>
  <c r="BY97" i="8"/>
  <c r="BZ97" i="8"/>
  <c r="CA97" i="8"/>
  <c r="CB97" i="8"/>
  <c r="CC97" i="8"/>
  <c r="BV98" i="8"/>
  <c r="BW98" i="8"/>
  <c r="BX98" i="8"/>
  <c r="BY98" i="8"/>
  <c r="BZ98" i="8"/>
  <c r="CA98" i="8"/>
  <c r="CB98" i="8"/>
  <c r="CC98" i="8"/>
  <c r="BV99" i="8"/>
  <c r="BW99" i="8"/>
  <c r="BX99" i="8"/>
  <c r="BY99" i="8"/>
  <c r="BZ99" i="8"/>
  <c r="CA99" i="8"/>
  <c r="CB99" i="8"/>
  <c r="CC99" i="8"/>
  <c r="BV100" i="8"/>
  <c r="BW100" i="8"/>
  <c r="BX100" i="8"/>
  <c r="BY100" i="8"/>
  <c r="BZ100" i="8"/>
  <c r="CA100" i="8"/>
  <c r="CB100" i="8"/>
  <c r="CC100" i="8"/>
  <c r="BV101" i="8"/>
  <c r="BW101" i="8"/>
  <c r="BX101" i="8"/>
  <c r="BY101" i="8"/>
  <c r="BZ101" i="8"/>
  <c r="CA101" i="8"/>
  <c r="CB101" i="8"/>
  <c r="CC101" i="8"/>
  <c r="BV102" i="8"/>
  <c r="BW102" i="8"/>
  <c r="BX102" i="8"/>
  <c r="BY102" i="8"/>
  <c r="BZ102" i="8"/>
  <c r="CA102" i="8"/>
  <c r="CB102" i="8"/>
  <c r="CC102" i="8"/>
  <c r="BV103" i="8"/>
  <c r="BW103" i="8"/>
  <c r="BX103" i="8"/>
  <c r="BY103" i="8"/>
  <c r="BZ103" i="8"/>
  <c r="CA103" i="8"/>
  <c r="CB103" i="8"/>
  <c r="CC103" i="8"/>
  <c r="BV104" i="8"/>
  <c r="BW104" i="8"/>
  <c r="BX104" i="8"/>
  <c r="BY104" i="8"/>
  <c r="BZ104" i="8"/>
  <c r="CA104" i="8"/>
  <c r="CB104" i="8"/>
  <c r="CC104" i="8"/>
  <c r="BV105" i="8"/>
  <c r="BW105" i="8"/>
  <c r="BX105" i="8"/>
  <c r="BY105" i="8"/>
  <c r="BZ105" i="8"/>
  <c r="CA105" i="8"/>
  <c r="CB105" i="8"/>
  <c r="CC105" i="8"/>
  <c r="BV106" i="8"/>
  <c r="BW106" i="8"/>
  <c r="BX106" i="8"/>
  <c r="BY106" i="8"/>
  <c r="BZ106" i="8"/>
  <c r="CA106" i="8"/>
  <c r="CB106" i="8"/>
  <c r="CC106" i="8"/>
  <c r="BV107" i="8"/>
  <c r="BW107" i="8"/>
  <c r="BX107" i="8"/>
  <c r="BY107" i="8"/>
  <c r="BZ107" i="8"/>
  <c r="CA107" i="8"/>
  <c r="CB107" i="8"/>
  <c r="CC107" i="8"/>
  <c r="BV71" i="8"/>
  <c r="BW71" i="8"/>
  <c r="BX71" i="8"/>
  <c r="BY71" i="8"/>
  <c r="BZ71" i="8"/>
  <c r="CA71" i="8"/>
  <c r="CB71" i="8"/>
  <c r="CC71" i="8"/>
  <c r="BV72" i="8"/>
  <c r="BW72" i="8"/>
  <c r="BX72" i="8"/>
  <c r="BY72" i="8"/>
  <c r="BZ72" i="8"/>
  <c r="CA72" i="8"/>
  <c r="CB72" i="8"/>
  <c r="CC72" i="8"/>
  <c r="BV73" i="8"/>
  <c r="BW73" i="8"/>
  <c r="BX73" i="8"/>
  <c r="BY73" i="8"/>
  <c r="BZ73" i="8"/>
  <c r="CA73" i="8"/>
  <c r="CB73" i="8"/>
  <c r="CC73" i="8"/>
  <c r="BV74" i="8"/>
  <c r="BW74" i="8"/>
  <c r="BX74" i="8"/>
  <c r="BY74" i="8"/>
  <c r="BZ74" i="8"/>
  <c r="CA74" i="8"/>
  <c r="CB74" i="8"/>
  <c r="CC74" i="8"/>
  <c r="BV75" i="8"/>
  <c r="BW75" i="8"/>
  <c r="BX75" i="8"/>
  <c r="BY75" i="8"/>
  <c r="BZ75" i="8"/>
  <c r="CA75" i="8"/>
  <c r="CB75" i="8"/>
  <c r="CC75" i="8"/>
  <c r="BV76" i="8"/>
  <c r="BW76" i="8"/>
  <c r="BX76" i="8"/>
  <c r="BY76" i="8"/>
  <c r="BZ76" i="8"/>
  <c r="CA76" i="8"/>
  <c r="CB76" i="8"/>
  <c r="CC76" i="8"/>
  <c r="BV77" i="8"/>
  <c r="BW77" i="8"/>
  <c r="BX77" i="8"/>
  <c r="BY77" i="8"/>
  <c r="BZ77" i="8"/>
  <c r="CA77" i="8"/>
  <c r="CB77" i="8"/>
  <c r="CC77" i="8"/>
  <c r="BV78" i="8"/>
  <c r="BW78" i="8"/>
  <c r="BX78" i="8"/>
  <c r="BY78" i="8"/>
  <c r="BZ78" i="8"/>
  <c r="CA78" i="8"/>
  <c r="CB78" i="8"/>
  <c r="CC78" i="8"/>
  <c r="BV79" i="8"/>
  <c r="BW79" i="8"/>
  <c r="BX79" i="8"/>
  <c r="BY79" i="8"/>
  <c r="BZ79" i="8"/>
  <c r="CA79" i="8"/>
  <c r="CB79" i="8"/>
  <c r="CC79" i="8"/>
  <c r="BV80" i="8"/>
  <c r="BW80" i="8"/>
  <c r="BX80" i="8"/>
  <c r="BY80" i="8"/>
  <c r="BZ80" i="8"/>
  <c r="CA80" i="8"/>
  <c r="CB80" i="8"/>
  <c r="CC80" i="8"/>
  <c r="BV81" i="8"/>
  <c r="BW81" i="8"/>
  <c r="BX81" i="8"/>
  <c r="BY81" i="8"/>
  <c r="BZ81" i="8"/>
  <c r="CA81" i="8"/>
  <c r="CB81" i="8"/>
  <c r="CC81" i="8"/>
  <c r="BV82" i="8"/>
  <c r="BW82" i="8"/>
  <c r="BX82" i="8"/>
  <c r="BY82" i="8"/>
  <c r="BZ82" i="8"/>
  <c r="CA82" i="8"/>
  <c r="CB82" i="8"/>
  <c r="CC82" i="8"/>
  <c r="BV83" i="8"/>
  <c r="BW83" i="8"/>
  <c r="BX83" i="8"/>
  <c r="BY83" i="8"/>
  <c r="BZ83" i="8"/>
  <c r="CA83" i="8"/>
  <c r="CB83" i="8"/>
  <c r="CC83" i="8"/>
  <c r="BL141" i="8"/>
  <c r="BM141" i="8"/>
  <c r="BN141" i="8"/>
  <c r="BO141" i="8"/>
  <c r="BP141" i="8"/>
  <c r="BQ141" i="8"/>
  <c r="BR141" i="8"/>
  <c r="BS141" i="8"/>
  <c r="BL142" i="8"/>
  <c r="BM142" i="8"/>
  <c r="BN142" i="8"/>
  <c r="BO142" i="8"/>
  <c r="BP142" i="8"/>
  <c r="BQ142" i="8"/>
  <c r="BR142" i="8"/>
  <c r="BS142" i="8"/>
  <c r="BL143" i="8"/>
  <c r="BM143" i="8"/>
  <c r="BN143" i="8"/>
  <c r="BO143" i="8"/>
  <c r="BP143" i="8"/>
  <c r="BQ143" i="8"/>
  <c r="BR143" i="8"/>
  <c r="BS143" i="8"/>
  <c r="BL144" i="8"/>
  <c r="BM144" i="8"/>
  <c r="BN144" i="8"/>
  <c r="BO144" i="8"/>
  <c r="BP144" i="8"/>
  <c r="BQ144" i="8"/>
  <c r="BR144" i="8"/>
  <c r="BS144" i="8"/>
  <c r="BL145" i="8"/>
  <c r="BM145" i="8"/>
  <c r="BN145" i="8"/>
  <c r="BO145" i="8"/>
  <c r="BP145" i="8"/>
  <c r="BQ145" i="8"/>
  <c r="BR145" i="8"/>
  <c r="BS145" i="8"/>
  <c r="BL146" i="8"/>
  <c r="BM146" i="8"/>
  <c r="BN146" i="8"/>
  <c r="BO146" i="8"/>
  <c r="BP146" i="8"/>
  <c r="BQ146" i="8"/>
  <c r="BR146" i="8"/>
  <c r="BS146" i="8"/>
  <c r="BL147" i="8"/>
  <c r="BM147" i="8"/>
  <c r="BN147" i="8"/>
  <c r="BO147" i="8"/>
  <c r="BP147" i="8"/>
  <c r="BQ147" i="8"/>
  <c r="BR147" i="8"/>
  <c r="BS147" i="8"/>
  <c r="BL148" i="8"/>
  <c r="BM148" i="8"/>
  <c r="BN148" i="8"/>
  <c r="BO148" i="8"/>
  <c r="BP148" i="8"/>
  <c r="BQ148" i="8"/>
  <c r="BR148" i="8"/>
  <c r="BS148" i="8"/>
  <c r="BL149" i="8"/>
  <c r="BM149" i="8"/>
  <c r="BN149" i="8"/>
  <c r="BO149" i="8"/>
  <c r="BP149" i="8"/>
  <c r="BQ149" i="8"/>
  <c r="BR149" i="8"/>
  <c r="BS149" i="8"/>
  <c r="BL150" i="8"/>
  <c r="BM150" i="8"/>
  <c r="BN150" i="8"/>
  <c r="BO150" i="8"/>
  <c r="BP150" i="8"/>
  <c r="BQ150" i="8"/>
  <c r="BR150" i="8"/>
  <c r="BS150" i="8"/>
  <c r="BL151" i="8"/>
  <c r="BM151" i="8"/>
  <c r="BN151" i="8"/>
  <c r="BO151" i="8"/>
  <c r="BP151" i="8"/>
  <c r="BQ151" i="8"/>
  <c r="BR151" i="8"/>
  <c r="BS151" i="8"/>
  <c r="BL152" i="8"/>
  <c r="BM152" i="8"/>
  <c r="BN152" i="8"/>
  <c r="BO152" i="8"/>
  <c r="BP152" i="8"/>
  <c r="BQ152" i="8"/>
  <c r="BR152" i="8"/>
  <c r="BS152" i="8"/>
  <c r="BL153" i="8"/>
  <c r="BM153" i="8"/>
  <c r="BN153" i="8"/>
  <c r="BO153" i="8"/>
  <c r="BP153" i="8"/>
  <c r="BQ153" i="8"/>
  <c r="BR153" i="8"/>
  <c r="BS153" i="8"/>
  <c r="BL117" i="8"/>
  <c r="BM117" i="8"/>
  <c r="BN117" i="8"/>
  <c r="BO117" i="8"/>
  <c r="BP117" i="8"/>
  <c r="BQ117" i="8"/>
  <c r="BR117" i="8"/>
  <c r="BS117" i="8"/>
  <c r="BL118" i="8"/>
  <c r="BM118" i="8"/>
  <c r="BN118" i="8"/>
  <c r="BO118" i="8"/>
  <c r="BP118" i="8"/>
  <c r="BQ118" i="8"/>
  <c r="BR118" i="8"/>
  <c r="BS118" i="8"/>
  <c r="BL119" i="8"/>
  <c r="BM119" i="8"/>
  <c r="BN119" i="8"/>
  <c r="BO119" i="8"/>
  <c r="BP119" i="8"/>
  <c r="BQ119" i="8"/>
  <c r="BR119" i="8"/>
  <c r="BS119" i="8"/>
  <c r="BL120" i="8"/>
  <c r="BM120" i="8"/>
  <c r="BN120" i="8"/>
  <c r="BO120" i="8"/>
  <c r="BP120" i="8"/>
  <c r="BQ120" i="8"/>
  <c r="BR120" i="8"/>
  <c r="BS120" i="8"/>
  <c r="BL121" i="8"/>
  <c r="BM121" i="8"/>
  <c r="BN121" i="8"/>
  <c r="BO121" i="8"/>
  <c r="BP121" i="8"/>
  <c r="BQ121" i="8"/>
  <c r="BR121" i="8"/>
  <c r="BS121" i="8"/>
  <c r="BL122" i="8"/>
  <c r="BM122" i="8"/>
  <c r="BN122" i="8"/>
  <c r="BO122" i="8"/>
  <c r="BP122" i="8"/>
  <c r="BQ122" i="8"/>
  <c r="BR122" i="8"/>
  <c r="BS122" i="8"/>
  <c r="BL123" i="8"/>
  <c r="BM123" i="8"/>
  <c r="BN123" i="8"/>
  <c r="BO123" i="8"/>
  <c r="BP123" i="8"/>
  <c r="BQ123" i="8"/>
  <c r="BR123" i="8"/>
  <c r="BS123" i="8"/>
  <c r="BL124" i="8"/>
  <c r="BM124" i="8"/>
  <c r="BN124" i="8"/>
  <c r="BO124" i="8"/>
  <c r="BP124" i="8"/>
  <c r="BQ124" i="8"/>
  <c r="BR124" i="8"/>
  <c r="BS124" i="8"/>
  <c r="BL125" i="8"/>
  <c r="BM125" i="8"/>
  <c r="BN125" i="8"/>
  <c r="BO125" i="8"/>
  <c r="BP125" i="8"/>
  <c r="BQ125" i="8"/>
  <c r="BR125" i="8"/>
  <c r="BS125" i="8"/>
  <c r="BL126" i="8"/>
  <c r="BM126" i="8"/>
  <c r="BN126" i="8"/>
  <c r="BO126" i="8"/>
  <c r="BP126" i="8"/>
  <c r="BQ126" i="8"/>
  <c r="BR126" i="8"/>
  <c r="BS126" i="8"/>
  <c r="BL127" i="8"/>
  <c r="BM127" i="8"/>
  <c r="BN127" i="8"/>
  <c r="BO127" i="8"/>
  <c r="BP127" i="8"/>
  <c r="BQ127" i="8"/>
  <c r="BR127" i="8"/>
  <c r="BS127" i="8"/>
  <c r="BL128" i="8"/>
  <c r="BM128" i="8"/>
  <c r="BN128" i="8"/>
  <c r="BO128" i="8"/>
  <c r="BP128" i="8"/>
  <c r="BQ128" i="8"/>
  <c r="BR128" i="8"/>
  <c r="BS128" i="8"/>
  <c r="BL129" i="8"/>
  <c r="BM129" i="8"/>
  <c r="BN129" i="8"/>
  <c r="BO129" i="8"/>
  <c r="BP129" i="8"/>
  <c r="BQ129" i="8"/>
  <c r="BR129" i="8"/>
  <c r="BS129" i="8"/>
  <c r="BL95" i="8"/>
  <c r="BM95" i="8"/>
  <c r="BN95" i="8"/>
  <c r="BO95" i="8"/>
  <c r="BP95" i="8"/>
  <c r="BQ95" i="8"/>
  <c r="BR95" i="8"/>
  <c r="BS95" i="8"/>
  <c r="BL96" i="8"/>
  <c r="BM96" i="8"/>
  <c r="BN96" i="8"/>
  <c r="BO96" i="8"/>
  <c r="BP96" i="8"/>
  <c r="BQ96" i="8"/>
  <c r="BR96" i="8"/>
  <c r="BS96" i="8"/>
  <c r="BL97" i="8"/>
  <c r="BM97" i="8"/>
  <c r="BN97" i="8"/>
  <c r="BO97" i="8"/>
  <c r="BP97" i="8"/>
  <c r="BQ97" i="8"/>
  <c r="BR97" i="8"/>
  <c r="BS97" i="8"/>
  <c r="BL98" i="8"/>
  <c r="BM98" i="8"/>
  <c r="BN98" i="8"/>
  <c r="BO98" i="8"/>
  <c r="BP98" i="8"/>
  <c r="BQ98" i="8"/>
  <c r="BR98" i="8"/>
  <c r="BS98" i="8"/>
  <c r="BL99" i="8"/>
  <c r="BM99" i="8"/>
  <c r="BN99" i="8"/>
  <c r="BO99" i="8"/>
  <c r="BP99" i="8"/>
  <c r="BQ99" i="8"/>
  <c r="BR99" i="8"/>
  <c r="BS99" i="8"/>
  <c r="BL100" i="8"/>
  <c r="BM100" i="8"/>
  <c r="BN100" i="8"/>
  <c r="BO100" i="8"/>
  <c r="BP100" i="8"/>
  <c r="BQ100" i="8"/>
  <c r="BR100" i="8"/>
  <c r="BS100" i="8"/>
  <c r="BL101" i="8"/>
  <c r="BM101" i="8"/>
  <c r="BN101" i="8"/>
  <c r="BO101" i="8"/>
  <c r="BP101" i="8"/>
  <c r="BQ101" i="8"/>
  <c r="BR101" i="8"/>
  <c r="BS101" i="8"/>
  <c r="BL102" i="8"/>
  <c r="BM102" i="8"/>
  <c r="BN102" i="8"/>
  <c r="BO102" i="8"/>
  <c r="BP102" i="8"/>
  <c r="BQ102" i="8"/>
  <c r="BR102" i="8"/>
  <c r="BS102" i="8"/>
  <c r="BL103" i="8"/>
  <c r="BM103" i="8"/>
  <c r="BN103" i="8"/>
  <c r="BO103" i="8"/>
  <c r="BP103" i="8"/>
  <c r="BQ103" i="8"/>
  <c r="BR103" i="8"/>
  <c r="BS103" i="8"/>
  <c r="BL104" i="8"/>
  <c r="BM104" i="8"/>
  <c r="BN104" i="8"/>
  <c r="BO104" i="8"/>
  <c r="BP104" i="8"/>
  <c r="BQ104" i="8"/>
  <c r="BR104" i="8"/>
  <c r="BS104" i="8"/>
  <c r="BL105" i="8"/>
  <c r="BM105" i="8"/>
  <c r="BN105" i="8"/>
  <c r="BO105" i="8"/>
  <c r="BP105" i="8"/>
  <c r="BQ105" i="8"/>
  <c r="BR105" i="8"/>
  <c r="BS105" i="8"/>
  <c r="BL106" i="8"/>
  <c r="BM106" i="8"/>
  <c r="BN106" i="8"/>
  <c r="BO106" i="8"/>
  <c r="BP106" i="8"/>
  <c r="BQ106" i="8"/>
  <c r="BR106" i="8"/>
  <c r="BS106" i="8"/>
  <c r="BL107" i="8"/>
  <c r="BM107" i="8"/>
  <c r="BN107" i="8"/>
  <c r="BO107" i="8"/>
  <c r="BP107" i="8"/>
  <c r="BQ107" i="8"/>
  <c r="BR107" i="8"/>
  <c r="BS107" i="8"/>
  <c r="BL71" i="8"/>
  <c r="BM71" i="8"/>
  <c r="BN71" i="8"/>
  <c r="BO71" i="8"/>
  <c r="BP71" i="8"/>
  <c r="BQ71" i="8"/>
  <c r="BR71" i="8"/>
  <c r="BS71" i="8"/>
  <c r="BL72" i="8"/>
  <c r="BM72" i="8"/>
  <c r="BN72" i="8"/>
  <c r="BO72" i="8"/>
  <c r="BP72" i="8"/>
  <c r="BQ72" i="8"/>
  <c r="BR72" i="8"/>
  <c r="BS72" i="8"/>
  <c r="BL73" i="8"/>
  <c r="BM73" i="8"/>
  <c r="BN73" i="8"/>
  <c r="BO73" i="8"/>
  <c r="BP73" i="8"/>
  <c r="BQ73" i="8"/>
  <c r="BR73" i="8"/>
  <c r="BS73" i="8"/>
  <c r="BL74" i="8"/>
  <c r="BM74" i="8"/>
  <c r="BN74" i="8"/>
  <c r="BO74" i="8"/>
  <c r="BP74" i="8"/>
  <c r="BQ74" i="8"/>
  <c r="BR74" i="8"/>
  <c r="BS74" i="8"/>
  <c r="BL75" i="8"/>
  <c r="BM75" i="8"/>
  <c r="BN75" i="8"/>
  <c r="BO75" i="8"/>
  <c r="BP75" i="8"/>
  <c r="BQ75" i="8"/>
  <c r="BR75" i="8"/>
  <c r="BS75" i="8"/>
  <c r="BL76" i="8"/>
  <c r="BM76" i="8"/>
  <c r="BN76" i="8"/>
  <c r="BO76" i="8"/>
  <c r="BP76" i="8"/>
  <c r="BQ76" i="8"/>
  <c r="BR76" i="8"/>
  <c r="BS76" i="8"/>
  <c r="BL77" i="8"/>
  <c r="BM77" i="8"/>
  <c r="BN77" i="8"/>
  <c r="BO77" i="8"/>
  <c r="BP77" i="8"/>
  <c r="BQ77" i="8"/>
  <c r="BR77" i="8"/>
  <c r="BS77" i="8"/>
  <c r="BL78" i="8"/>
  <c r="BM78" i="8"/>
  <c r="BN78" i="8"/>
  <c r="BO78" i="8"/>
  <c r="BP78" i="8"/>
  <c r="BQ78" i="8"/>
  <c r="BR78" i="8"/>
  <c r="BS78" i="8"/>
  <c r="BL79" i="8"/>
  <c r="BM79" i="8"/>
  <c r="BN79" i="8"/>
  <c r="BO79" i="8"/>
  <c r="BP79" i="8"/>
  <c r="BQ79" i="8"/>
  <c r="BR79" i="8"/>
  <c r="BS79" i="8"/>
  <c r="BL80" i="8"/>
  <c r="BM80" i="8"/>
  <c r="BN80" i="8"/>
  <c r="BO80" i="8"/>
  <c r="BP80" i="8"/>
  <c r="BQ80" i="8"/>
  <c r="BR80" i="8"/>
  <c r="BS80" i="8"/>
  <c r="BL81" i="8"/>
  <c r="BM81" i="8"/>
  <c r="BN81" i="8"/>
  <c r="BO81" i="8"/>
  <c r="BP81" i="8"/>
  <c r="BQ81" i="8"/>
  <c r="BR81" i="8"/>
  <c r="BS81" i="8"/>
  <c r="BL82" i="8"/>
  <c r="BM82" i="8"/>
  <c r="BN82" i="8"/>
  <c r="BO82" i="8"/>
  <c r="BP82" i="8"/>
  <c r="BQ82" i="8"/>
  <c r="BR82" i="8"/>
  <c r="BS82" i="8"/>
  <c r="BL83" i="8"/>
  <c r="BM83" i="8"/>
  <c r="BN83" i="8"/>
  <c r="BO83" i="8"/>
  <c r="BP83" i="8"/>
  <c r="BQ83" i="8"/>
  <c r="BR83" i="8"/>
  <c r="BS83" i="8"/>
  <c r="BB141" i="8"/>
  <c r="BC141" i="8"/>
  <c r="BD141" i="8"/>
  <c r="BE141" i="8"/>
  <c r="BF141" i="8"/>
  <c r="BG141" i="8"/>
  <c r="BH141" i="8"/>
  <c r="BI141" i="8"/>
  <c r="BB142" i="8"/>
  <c r="BC142" i="8"/>
  <c r="BD142" i="8"/>
  <c r="BE142" i="8"/>
  <c r="BF142" i="8"/>
  <c r="BG142" i="8"/>
  <c r="BH142" i="8"/>
  <c r="BI142" i="8"/>
  <c r="BB143" i="8"/>
  <c r="BC143" i="8"/>
  <c r="BD143" i="8"/>
  <c r="BE143" i="8"/>
  <c r="BF143" i="8"/>
  <c r="BG143" i="8"/>
  <c r="BH143" i="8"/>
  <c r="BI143" i="8"/>
  <c r="BB144" i="8"/>
  <c r="BC144" i="8"/>
  <c r="BD144" i="8"/>
  <c r="BE144" i="8"/>
  <c r="BF144" i="8"/>
  <c r="BG144" i="8"/>
  <c r="BH144" i="8"/>
  <c r="BI144" i="8"/>
  <c r="BB145" i="8"/>
  <c r="BC145" i="8"/>
  <c r="BD145" i="8"/>
  <c r="BE145" i="8"/>
  <c r="BF145" i="8"/>
  <c r="BG145" i="8"/>
  <c r="BH145" i="8"/>
  <c r="BI145" i="8"/>
  <c r="BB146" i="8"/>
  <c r="BC146" i="8"/>
  <c r="BD146" i="8"/>
  <c r="BE146" i="8"/>
  <c r="BF146" i="8"/>
  <c r="BG146" i="8"/>
  <c r="BH146" i="8"/>
  <c r="BI146" i="8"/>
  <c r="BB147" i="8"/>
  <c r="BC147" i="8"/>
  <c r="BD147" i="8"/>
  <c r="BE147" i="8"/>
  <c r="BF147" i="8"/>
  <c r="BG147" i="8"/>
  <c r="BH147" i="8"/>
  <c r="BI147" i="8"/>
  <c r="BB148" i="8"/>
  <c r="BC148" i="8"/>
  <c r="BD148" i="8"/>
  <c r="BE148" i="8"/>
  <c r="BF148" i="8"/>
  <c r="BG148" i="8"/>
  <c r="BH148" i="8"/>
  <c r="BI148" i="8"/>
  <c r="BB149" i="8"/>
  <c r="BC149" i="8"/>
  <c r="BD149" i="8"/>
  <c r="BE149" i="8"/>
  <c r="BF149" i="8"/>
  <c r="BG149" i="8"/>
  <c r="BH149" i="8"/>
  <c r="BI149" i="8"/>
  <c r="BB150" i="8"/>
  <c r="BC150" i="8"/>
  <c r="BD150" i="8"/>
  <c r="BE150" i="8"/>
  <c r="BF150" i="8"/>
  <c r="BG150" i="8"/>
  <c r="BH150" i="8"/>
  <c r="BI150" i="8"/>
  <c r="BB151" i="8"/>
  <c r="BC151" i="8"/>
  <c r="BD151" i="8"/>
  <c r="BE151" i="8"/>
  <c r="BF151" i="8"/>
  <c r="BG151" i="8"/>
  <c r="BH151" i="8"/>
  <c r="BI151" i="8"/>
  <c r="BB152" i="8"/>
  <c r="BC152" i="8"/>
  <c r="BD152" i="8"/>
  <c r="BE152" i="8"/>
  <c r="BF152" i="8"/>
  <c r="BG152" i="8"/>
  <c r="BH152" i="8"/>
  <c r="BI152" i="8"/>
  <c r="BB153" i="8"/>
  <c r="BC153" i="8"/>
  <c r="BD153" i="8"/>
  <c r="BE153" i="8"/>
  <c r="BF153" i="8"/>
  <c r="BG153" i="8"/>
  <c r="BH153" i="8"/>
  <c r="BI153" i="8"/>
  <c r="BB117" i="8"/>
  <c r="BC117" i="8"/>
  <c r="BD117" i="8"/>
  <c r="BE117" i="8"/>
  <c r="BF117" i="8"/>
  <c r="BG117" i="8"/>
  <c r="BH117" i="8"/>
  <c r="BI117" i="8"/>
  <c r="BB118" i="8"/>
  <c r="BC118" i="8"/>
  <c r="BD118" i="8"/>
  <c r="BE118" i="8"/>
  <c r="BF118" i="8"/>
  <c r="BG118" i="8"/>
  <c r="BH118" i="8"/>
  <c r="BI118" i="8"/>
  <c r="BB119" i="8"/>
  <c r="BC119" i="8"/>
  <c r="BD119" i="8"/>
  <c r="BE119" i="8"/>
  <c r="BF119" i="8"/>
  <c r="BG119" i="8"/>
  <c r="BH119" i="8"/>
  <c r="BI119" i="8"/>
  <c r="BB120" i="8"/>
  <c r="BC120" i="8"/>
  <c r="BD120" i="8"/>
  <c r="BE120" i="8"/>
  <c r="BF120" i="8"/>
  <c r="BG120" i="8"/>
  <c r="BH120" i="8"/>
  <c r="BI120" i="8"/>
  <c r="BB121" i="8"/>
  <c r="BC121" i="8"/>
  <c r="BD121" i="8"/>
  <c r="BE121" i="8"/>
  <c r="BF121" i="8"/>
  <c r="BG121" i="8"/>
  <c r="BH121" i="8"/>
  <c r="BI121" i="8"/>
  <c r="BB122" i="8"/>
  <c r="BC122" i="8"/>
  <c r="BD122" i="8"/>
  <c r="BE122" i="8"/>
  <c r="BF122" i="8"/>
  <c r="BG122" i="8"/>
  <c r="BH122" i="8"/>
  <c r="BI122" i="8"/>
  <c r="BB123" i="8"/>
  <c r="BC123" i="8"/>
  <c r="BD123" i="8"/>
  <c r="BE123" i="8"/>
  <c r="BF123" i="8"/>
  <c r="BG123" i="8"/>
  <c r="BH123" i="8"/>
  <c r="BI123" i="8"/>
  <c r="BB124" i="8"/>
  <c r="BC124" i="8"/>
  <c r="BD124" i="8"/>
  <c r="BE124" i="8"/>
  <c r="BF124" i="8"/>
  <c r="BG124" i="8"/>
  <c r="BH124" i="8"/>
  <c r="BI124" i="8"/>
  <c r="BB125" i="8"/>
  <c r="BC125" i="8"/>
  <c r="BD125" i="8"/>
  <c r="BE125" i="8"/>
  <c r="BF125" i="8"/>
  <c r="BG125" i="8"/>
  <c r="BH125" i="8"/>
  <c r="BI125" i="8"/>
  <c r="BB126" i="8"/>
  <c r="BC126" i="8"/>
  <c r="BD126" i="8"/>
  <c r="BE126" i="8"/>
  <c r="BF126" i="8"/>
  <c r="BG126" i="8"/>
  <c r="BH126" i="8"/>
  <c r="BI126" i="8"/>
  <c r="BB127" i="8"/>
  <c r="BC127" i="8"/>
  <c r="BD127" i="8"/>
  <c r="BE127" i="8"/>
  <c r="BF127" i="8"/>
  <c r="BG127" i="8"/>
  <c r="BH127" i="8"/>
  <c r="BI127" i="8"/>
  <c r="BB128" i="8"/>
  <c r="BC128" i="8"/>
  <c r="BD128" i="8"/>
  <c r="BE128" i="8"/>
  <c r="BF128" i="8"/>
  <c r="BG128" i="8"/>
  <c r="BH128" i="8"/>
  <c r="BI128" i="8"/>
  <c r="BB129" i="8"/>
  <c r="BC129" i="8"/>
  <c r="BD129" i="8"/>
  <c r="BE129" i="8"/>
  <c r="BF129" i="8"/>
  <c r="BG129" i="8"/>
  <c r="BH129" i="8"/>
  <c r="BI129" i="8"/>
  <c r="BB95" i="8"/>
  <c r="BC95" i="8"/>
  <c r="BD95" i="8"/>
  <c r="BE95" i="8"/>
  <c r="BF95" i="8"/>
  <c r="BG95" i="8"/>
  <c r="BH95" i="8"/>
  <c r="BI95" i="8"/>
  <c r="BB96" i="8"/>
  <c r="BC96" i="8"/>
  <c r="BD96" i="8"/>
  <c r="BE96" i="8"/>
  <c r="BF96" i="8"/>
  <c r="BG96" i="8"/>
  <c r="BH96" i="8"/>
  <c r="BI96" i="8"/>
  <c r="BB97" i="8"/>
  <c r="BC97" i="8"/>
  <c r="BD97" i="8"/>
  <c r="BE97" i="8"/>
  <c r="BF97" i="8"/>
  <c r="BG97" i="8"/>
  <c r="BH97" i="8"/>
  <c r="BI97" i="8"/>
  <c r="BB98" i="8"/>
  <c r="BC98" i="8"/>
  <c r="BD98" i="8"/>
  <c r="BE98" i="8"/>
  <c r="BF98" i="8"/>
  <c r="BG98" i="8"/>
  <c r="BH98" i="8"/>
  <c r="BI98" i="8"/>
  <c r="BB99" i="8"/>
  <c r="BC99" i="8"/>
  <c r="BD99" i="8"/>
  <c r="BE99" i="8"/>
  <c r="BF99" i="8"/>
  <c r="BG99" i="8"/>
  <c r="BH99" i="8"/>
  <c r="BI99" i="8"/>
  <c r="BB100" i="8"/>
  <c r="BC100" i="8"/>
  <c r="BD100" i="8"/>
  <c r="BE100" i="8"/>
  <c r="BF100" i="8"/>
  <c r="BG100" i="8"/>
  <c r="BH100" i="8"/>
  <c r="BI100" i="8"/>
  <c r="BB101" i="8"/>
  <c r="BC101" i="8"/>
  <c r="BD101" i="8"/>
  <c r="BE101" i="8"/>
  <c r="BF101" i="8"/>
  <c r="BG101" i="8"/>
  <c r="BH101" i="8"/>
  <c r="BI101" i="8"/>
  <c r="BB102" i="8"/>
  <c r="BC102" i="8"/>
  <c r="BD102" i="8"/>
  <c r="BE102" i="8"/>
  <c r="BF102" i="8"/>
  <c r="BG102" i="8"/>
  <c r="BH102" i="8"/>
  <c r="BI102" i="8"/>
  <c r="BB103" i="8"/>
  <c r="BC103" i="8"/>
  <c r="BD103" i="8"/>
  <c r="BE103" i="8"/>
  <c r="BF103" i="8"/>
  <c r="BG103" i="8"/>
  <c r="BH103" i="8"/>
  <c r="BI103" i="8"/>
  <c r="BB104" i="8"/>
  <c r="BC104" i="8"/>
  <c r="BD104" i="8"/>
  <c r="BE104" i="8"/>
  <c r="BF104" i="8"/>
  <c r="BG104" i="8"/>
  <c r="BH104" i="8"/>
  <c r="BI104" i="8"/>
  <c r="BB105" i="8"/>
  <c r="BC105" i="8"/>
  <c r="BD105" i="8"/>
  <c r="BE105" i="8"/>
  <c r="BF105" i="8"/>
  <c r="BG105" i="8"/>
  <c r="BH105" i="8"/>
  <c r="BI105" i="8"/>
  <c r="BB106" i="8"/>
  <c r="BC106" i="8"/>
  <c r="BD106" i="8"/>
  <c r="BE106" i="8"/>
  <c r="BF106" i="8"/>
  <c r="BG106" i="8"/>
  <c r="BH106" i="8"/>
  <c r="BI106" i="8"/>
  <c r="BB107" i="8"/>
  <c r="BC107" i="8"/>
  <c r="BD107" i="8"/>
  <c r="BE107" i="8"/>
  <c r="BF107" i="8"/>
  <c r="BG107" i="8"/>
  <c r="BH107" i="8"/>
  <c r="BI107" i="8"/>
  <c r="BB71" i="8"/>
  <c r="BC71" i="8"/>
  <c r="BD71" i="8"/>
  <c r="BE71" i="8"/>
  <c r="BF71" i="8"/>
  <c r="BG71" i="8"/>
  <c r="BH71" i="8"/>
  <c r="BI71" i="8"/>
  <c r="BB72" i="8"/>
  <c r="BC72" i="8"/>
  <c r="BD72" i="8"/>
  <c r="BE72" i="8"/>
  <c r="BF72" i="8"/>
  <c r="BG72" i="8"/>
  <c r="BH72" i="8"/>
  <c r="BI72" i="8"/>
  <c r="BB73" i="8"/>
  <c r="BC73" i="8"/>
  <c r="BD73" i="8"/>
  <c r="BE73" i="8"/>
  <c r="BF73" i="8"/>
  <c r="BG73" i="8"/>
  <c r="BH73" i="8"/>
  <c r="BI73" i="8"/>
  <c r="BB74" i="8"/>
  <c r="BC74" i="8"/>
  <c r="BD74" i="8"/>
  <c r="BE74" i="8"/>
  <c r="BF74" i="8"/>
  <c r="BG74" i="8"/>
  <c r="BH74" i="8"/>
  <c r="BI74" i="8"/>
  <c r="BB75" i="8"/>
  <c r="BC75" i="8"/>
  <c r="BD75" i="8"/>
  <c r="BE75" i="8"/>
  <c r="BF75" i="8"/>
  <c r="BG75" i="8"/>
  <c r="BH75" i="8"/>
  <c r="BI75" i="8"/>
  <c r="BB76" i="8"/>
  <c r="BC76" i="8"/>
  <c r="BD76" i="8"/>
  <c r="BE76" i="8"/>
  <c r="BF76" i="8"/>
  <c r="BG76" i="8"/>
  <c r="BH76" i="8"/>
  <c r="BI76" i="8"/>
  <c r="BB77" i="8"/>
  <c r="BC77" i="8"/>
  <c r="BD77" i="8"/>
  <c r="BE77" i="8"/>
  <c r="BF77" i="8"/>
  <c r="BG77" i="8"/>
  <c r="BH77" i="8"/>
  <c r="BI77" i="8"/>
  <c r="BB78" i="8"/>
  <c r="BC78" i="8"/>
  <c r="BD78" i="8"/>
  <c r="BE78" i="8"/>
  <c r="BF78" i="8"/>
  <c r="BG78" i="8"/>
  <c r="BH78" i="8"/>
  <c r="BI78" i="8"/>
  <c r="BB79" i="8"/>
  <c r="BC79" i="8"/>
  <c r="BD79" i="8"/>
  <c r="BE79" i="8"/>
  <c r="BF79" i="8"/>
  <c r="BG79" i="8"/>
  <c r="BH79" i="8"/>
  <c r="BI79" i="8"/>
  <c r="BB80" i="8"/>
  <c r="BC80" i="8"/>
  <c r="BD80" i="8"/>
  <c r="BE80" i="8"/>
  <c r="BF80" i="8"/>
  <c r="BG80" i="8"/>
  <c r="BH80" i="8"/>
  <c r="BI80" i="8"/>
  <c r="BB81" i="8"/>
  <c r="BC81" i="8"/>
  <c r="BD81" i="8"/>
  <c r="BE81" i="8"/>
  <c r="BF81" i="8"/>
  <c r="BG81" i="8"/>
  <c r="BH81" i="8"/>
  <c r="BI81" i="8"/>
  <c r="BB82" i="8"/>
  <c r="BC82" i="8"/>
  <c r="BD82" i="8"/>
  <c r="BE82" i="8"/>
  <c r="BF82" i="8"/>
  <c r="BG82" i="8"/>
  <c r="BH82" i="8"/>
  <c r="BI82" i="8"/>
  <c r="BB83" i="8"/>
  <c r="BC83" i="8"/>
  <c r="BD83" i="8"/>
  <c r="BE83" i="8"/>
  <c r="BF83" i="8"/>
  <c r="BG83" i="8"/>
  <c r="BH83" i="8"/>
  <c r="BI83" i="8"/>
  <c r="AR141" i="8"/>
  <c r="AS141" i="8"/>
  <c r="AT141" i="8"/>
  <c r="AU141" i="8"/>
  <c r="AV141" i="8"/>
  <c r="AW141" i="8"/>
  <c r="AX141" i="8"/>
  <c r="AY141" i="8"/>
  <c r="AR142" i="8"/>
  <c r="AS142" i="8"/>
  <c r="AT142" i="8"/>
  <c r="AU142" i="8"/>
  <c r="AV142" i="8"/>
  <c r="AW142" i="8"/>
  <c r="AX142" i="8"/>
  <c r="AY142" i="8"/>
  <c r="AR143" i="8"/>
  <c r="AS143" i="8"/>
  <c r="AT143" i="8"/>
  <c r="AU143" i="8"/>
  <c r="AV143" i="8"/>
  <c r="AW143" i="8"/>
  <c r="AX143" i="8"/>
  <c r="AY143" i="8"/>
  <c r="AR144" i="8"/>
  <c r="AS144" i="8"/>
  <c r="AT144" i="8"/>
  <c r="AU144" i="8"/>
  <c r="AV144" i="8"/>
  <c r="AW144" i="8"/>
  <c r="AX144" i="8"/>
  <c r="AY144" i="8"/>
  <c r="AR145" i="8"/>
  <c r="AS145" i="8"/>
  <c r="AT145" i="8"/>
  <c r="AU145" i="8"/>
  <c r="AV145" i="8"/>
  <c r="AW145" i="8"/>
  <c r="AX145" i="8"/>
  <c r="AY145" i="8"/>
  <c r="AR146" i="8"/>
  <c r="AS146" i="8"/>
  <c r="AT146" i="8"/>
  <c r="AU146" i="8"/>
  <c r="AV146" i="8"/>
  <c r="AW146" i="8"/>
  <c r="AX146" i="8"/>
  <c r="AY146" i="8"/>
  <c r="AR147" i="8"/>
  <c r="AS147" i="8"/>
  <c r="AT147" i="8"/>
  <c r="AU147" i="8"/>
  <c r="AV147" i="8"/>
  <c r="AW147" i="8"/>
  <c r="AX147" i="8"/>
  <c r="AY147" i="8"/>
  <c r="AR148" i="8"/>
  <c r="AS148" i="8"/>
  <c r="AT148" i="8"/>
  <c r="AU148" i="8"/>
  <c r="AV148" i="8"/>
  <c r="AW148" i="8"/>
  <c r="AX148" i="8"/>
  <c r="AY148" i="8"/>
  <c r="AR149" i="8"/>
  <c r="AS149" i="8"/>
  <c r="AT149" i="8"/>
  <c r="AU149" i="8"/>
  <c r="AV149" i="8"/>
  <c r="AW149" i="8"/>
  <c r="AX149" i="8"/>
  <c r="AY149" i="8"/>
  <c r="AR150" i="8"/>
  <c r="AS150" i="8"/>
  <c r="AT150" i="8"/>
  <c r="AU150" i="8"/>
  <c r="AV150" i="8"/>
  <c r="AW150" i="8"/>
  <c r="AX150" i="8"/>
  <c r="AY150" i="8"/>
  <c r="AR151" i="8"/>
  <c r="AS151" i="8"/>
  <c r="AT151" i="8"/>
  <c r="AU151" i="8"/>
  <c r="AV151" i="8"/>
  <c r="AW151" i="8"/>
  <c r="AX151" i="8"/>
  <c r="AY151" i="8"/>
  <c r="AR152" i="8"/>
  <c r="AS152" i="8"/>
  <c r="AT152" i="8"/>
  <c r="AU152" i="8"/>
  <c r="AV152" i="8"/>
  <c r="AW152" i="8"/>
  <c r="AX152" i="8"/>
  <c r="AY152" i="8"/>
  <c r="AR153" i="8"/>
  <c r="AS153" i="8"/>
  <c r="AT153" i="8"/>
  <c r="AU153" i="8"/>
  <c r="AV153" i="8"/>
  <c r="AW153" i="8"/>
  <c r="AX153" i="8"/>
  <c r="AY153" i="8"/>
  <c r="AR117" i="8"/>
  <c r="AS117" i="8"/>
  <c r="AT117" i="8"/>
  <c r="AU117" i="8"/>
  <c r="AV117" i="8"/>
  <c r="AW117" i="8"/>
  <c r="AX117" i="8"/>
  <c r="AY117" i="8"/>
  <c r="AR118" i="8"/>
  <c r="AS118" i="8"/>
  <c r="AT118" i="8"/>
  <c r="AU118" i="8"/>
  <c r="AV118" i="8"/>
  <c r="AW118" i="8"/>
  <c r="AX118" i="8"/>
  <c r="AY118" i="8"/>
  <c r="AR119" i="8"/>
  <c r="AS119" i="8"/>
  <c r="AT119" i="8"/>
  <c r="AU119" i="8"/>
  <c r="AV119" i="8"/>
  <c r="AW119" i="8"/>
  <c r="AX119" i="8"/>
  <c r="AY119" i="8"/>
  <c r="AR120" i="8"/>
  <c r="AS120" i="8"/>
  <c r="AT120" i="8"/>
  <c r="AU120" i="8"/>
  <c r="AV120" i="8"/>
  <c r="AW120" i="8"/>
  <c r="AX120" i="8"/>
  <c r="AY120" i="8"/>
  <c r="AR121" i="8"/>
  <c r="AS121" i="8"/>
  <c r="AT121" i="8"/>
  <c r="AU121" i="8"/>
  <c r="AV121" i="8"/>
  <c r="AW121" i="8"/>
  <c r="AX121" i="8"/>
  <c r="AY121" i="8"/>
  <c r="AR122" i="8"/>
  <c r="AS122" i="8"/>
  <c r="AT122" i="8"/>
  <c r="AU122" i="8"/>
  <c r="AV122" i="8"/>
  <c r="AW122" i="8"/>
  <c r="AX122" i="8"/>
  <c r="AY122" i="8"/>
  <c r="AR123" i="8"/>
  <c r="AS123" i="8"/>
  <c r="AT123" i="8"/>
  <c r="AU123" i="8"/>
  <c r="AV123" i="8"/>
  <c r="AW123" i="8"/>
  <c r="AX123" i="8"/>
  <c r="AY123" i="8"/>
  <c r="AR124" i="8"/>
  <c r="AS124" i="8"/>
  <c r="AT124" i="8"/>
  <c r="AU124" i="8"/>
  <c r="AV124" i="8"/>
  <c r="AW124" i="8"/>
  <c r="AX124" i="8"/>
  <c r="AY124" i="8"/>
  <c r="AR125" i="8"/>
  <c r="AS125" i="8"/>
  <c r="AT125" i="8"/>
  <c r="AU125" i="8"/>
  <c r="AV125" i="8"/>
  <c r="AW125" i="8"/>
  <c r="AX125" i="8"/>
  <c r="AY125" i="8"/>
  <c r="AR126" i="8"/>
  <c r="AS126" i="8"/>
  <c r="AT126" i="8"/>
  <c r="AU126" i="8"/>
  <c r="AV126" i="8"/>
  <c r="AW126" i="8"/>
  <c r="AX126" i="8"/>
  <c r="AY126" i="8"/>
  <c r="AR127" i="8"/>
  <c r="AS127" i="8"/>
  <c r="AT127" i="8"/>
  <c r="AU127" i="8"/>
  <c r="AV127" i="8"/>
  <c r="AW127" i="8"/>
  <c r="AX127" i="8"/>
  <c r="AY127" i="8"/>
  <c r="AR128" i="8"/>
  <c r="AS128" i="8"/>
  <c r="AT128" i="8"/>
  <c r="AU128" i="8"/>
  <c r="AV128" i="8"/>
  <c r="AW128" i="8"/>
  <c r="AX128" i="8"/>
  <c r="AY128" i="8"/>
  <c r="AR129" i="8"/>
  <c r="AS129" i="8"/>
  <c r="AT129" i="8"/>
  <c r="AU129" i="8"/>
  <c r="AV129" i="8"/>
  <c r="AW129" i="8"/>
  <c r="AX129" i="8"/>
  <c r="AY129" i="8"/>
  <c r="AR95" i="8"/>
  <c r="AS95" i="8"/>
  <c r="AT95" i="8"/>
  <c r="AU95" i="8"/>
  <c r="AV95" i="8"/>
  <c r="AW95" i="8"/>
  <c r="AX95" i="8"/>
  <c r="AY95" i="8"/>
  <c r="AR96" i="8"/>
  <c r="AS96" i="8"/>
  <c r="AT96" i="8"/>
  <c r="AU96" i="8"/>
  <c r="AV96" i="8"/>
  <c r="AW96" i="8"/>
  <c r="AX96" i="8"/>
  <c r="AY96" i="8"/>
  <c r="AR97" i="8"/>
  <c r="AS97" i="8"/>
  <c r="AT97" i="8"/>
  <c r="AU97" i="8"/>
  <c r="AV97" i="8"/>
  <c r="AW97" i="8"/>
  <c r="AX97" i="8"/>
  <c r="AY97" i="8"/>
  <c r="AR98" i="8"/>
  <c r="AS98" i="8"/>
  <c r="AT98" i="8"/>
  <c r="AU98" i="8"/>
  <c r="AV98" i="8"/>
  <c r="AW98" i="8"/>
  <c r="AX98" i="8"/>
  <c r="AY98" i="8"/>
  <c r="AR99" i="8"/>
  <c r="AS99" i="8"/>
  <c r="AT99" i="8"/>
  <c r="AU99" i="8"/>
  <c r="AV99" i="8"/>
  <c r="AW99" i="8"/>
  <c r="AX99" i="8"/>
  <c r="AY99" i="8"/>
  <c r="AR100" i="8"/>
  <c r="AS100" i="8"/>
  <c r="AT100" i="8"/>
  <c r="AU100" i="8"/>
  <c r="AV100" i="8"/>
  <c r="AW100" i="8"/>
  <c r="AX100" i="8"/>
  <c r="AY100" i="8"/>
  <c r="AR101" i="8"/>
  <c r="AS101" i="8"/>
  <c r="AT101" i="8"/>
  <c r="AU101" i="8"/>
  <c r="AV101" i="8"/>
  <c r="AW101" i="8"/>
  <c r="AX101" i="8"/>
  <c r="AY101" i="8"/>
  <c r="AR102" i="8"/>
  <c r="AS102" i="8"/>
  <c r="AT102" i="8"/>
  <c r="AU102" i="8"/>
  <c r="AV102" i="8"/>
  <c r="AW102" i="8"/>
  <c r="AX102" i="8"/>
  <c r="AY102" i="8"/>
  <c r="AR103" i="8"/>
  <c r="AS103" i="8"/>
  <c r="AT103" i="8"/>
  <c r="AU103" i="8"/>
  <c r="AV103" i="8"/>
  <c r="AW103" i="8"/>
  <c r="AX103" i="8"/>
  <c r="AY103" i="8"/>
  <c r="AR104" i="8"/>
  <c r="AS104" i="8"/>
  <c r="AT104" i="8"/>
  <c r="AU104" i="8"/>
  <c r="AV104" i="8"/>
  <c r="AW104" i="8"/>
  <c r="AX104" i="8"/>
  <c r="AY104" i="8"/>
  <c r="AR105" i="8"/>
  <c r="AS105" i="8"/>
  <c r="AT105" i="8"/>
  <c r="AU105" i="8"/>
  <c r="AV105" i="8"/>
  <c r="AW105" i="8"/>
  <c r="AX105" i="8"/>
  <c r="AY105" i="8"/>
  <c r="AR106" i="8"/>
  <c r="AS106" i="8"/>
  <c r="AT106" i="8"/>
  <c r="AU106" i="8"/>
  <c r="AV106" i="8"/>
  <c r="AW106" i="8"/>
  <c r="AX106" i="8"/>
  <c r="AY106" i="8"/>
  <c r="AR107" i="8"/>
  <c r="AS107" i="8"/>
  <c r="AT107" i="8"/>
  <c r="AU107" i="8"/>
  <c r="AV107" i="8"/>
  <c r="AW107" i="8"/>
  <c r="AX107" i="8"/>
  <c r="AY107" i="8"/>
  <c r="AR71" i="8"/>
  <c r="AS71" i="8"/>
  <c r="AT71" i="8"/>
  <c r="AU71" i="8"/>
  <c r="AV71" i="8"/>
  <c r="AW71" i="8"/>
  <c r="AX71" i="8"/>
  <c r="AY71" i="8"/>
  <c r="AR72" i="8"/>
  <c r="AS72" i="8"/>
  <c r="AT72" i="8"/>
  <c r="AU72" i="8"/>
  <c r="AV72" i="8"/>
  <c r="AW72" i="8"/>
  <c r="AX72" i="8"/>
  <c r="AY72" i="8"/>
  <c r="AR73" i="8"/>
  <c r="AS73" i="8"/>
  <c r="AT73" i="8"/>
  <c r="AU73" i="8"/>
  <c r="AV73" i="8"/>
  <c r="AW73" i="8"/>
  <c r="AX73" i="8"/>
  <c r="AY73" i="8"/>
  <c r="AR74" i="8"/>
  <c r="AS74" i="8"/>
  <c r="AT74" i="8"/>
  <c r="AU74" i="8"/>
  <c r="AV74" i="8"/>
  <c r="AW74" i="8"/>
  <c r="AX74" i="8"/>
  <c r="AY74" i="8"/>
  <c r="AR75" i="8"/>
  <c r="AS75" i="8"/>
  <c r="AT75" i="8"/>
  <c r="AU75" i="8"/>
  <c r="AV75" i="8"/>
  <c r="AW75" i="8"/>
  <c r="AX75" i="8"/>
  <c r="AY75" i="8"/>
  <c r="AR76" i="8"/>
  <c r="AS76" i="8"/>
  <c r="AT76" i="8"/>
  <c r="AU76" i="8"/>
  <c r="AV76" i="8"/>
  <c r="AW76" i="8"/>
  <c r="AX76" i="8"/>
  <c r="AY76" i="8"/>
  <c r="AR77" i="8"/>
  <c r="AS77" i="8"/>
  <c r="AT77" i="8"/>
  <c r="AU77" i="8"/>
  <c r="AV77" i="8"/>
  <c r="AW77" i="8"/>
  <c r="AX77" i="8"/>
  <c r="AY77" i="8"/>
  <c r="AR78" i="8"/>
  <c r="AS78" i="8"/>
  <c r="AT78" i="8"/>
  <c r="AU78" i="8"/>
  <c r="AV78" i="8"/>
  <c r="AW78" i="8"/>
  <c r="AX78" i="8"/>
  <c r="AY78" i="8"/>
  <c r="AR79" i="8"/>
  <c r="AS79" i="8"/>
  <c r="AT79" i="8"/>
  <c r="AU79" i="8"/>
  <c r="AV79" i="8"/>
  <c r="AW79" i="8"/>
  <c r="AX79" i="8"/>
  <c r="AY79" i="8"/>
  <c r="AR80" i="8"/>
  <c r="AS80" i="8"/>
  <c r="AT80" i="8"/>
  <c r="AU80" i="8"/>
  <c r="AV80" i="8"/>
  <c r="AW80" i="8"/>
  <c r="AX80" i="8"/>
  <c r="AY80" i="8"/>
  <c r="AR81" i="8"/>
  <c r="AS81" i="8"/>
  <c r="AT81" i="8"/>
  <c r="AU81" i="8"/>
  <c r="AV81" i="8"/>
  <c r="AW81" i="8"/>
  <c r="AX81" i="8"/>
  <c r="AY81" i="8"/>
  <c r="AR82" i="8"/>
  <c r="AS82" i="8"/>
  <c r="AT82" i="8"/>
  <c r="AU82" i="8"/>
  <c r="AV82" i="8"/>
  <c r="AW82" i="8"/>
  <c r="AX82" i="8"/>
  <c r="AY82" i="8"/>
  <c r="AR83" i="8"/>
  <c r="AS83" i="8"/>
  <c r="AT83" i="8"/>
  <c r="AU83" i="8"/>
  <c r="AV83" i="8"/>
  <c r="AW83" i="8"/>
  <c r="AX83" i="8"/>
  <c r="AY83" i="8"/>
  <c r="AH141" i="8"/>
  <c r="AI141" i="8"/>
  <c r="AJ141" i="8"/>
  <c r="AK141" i="8"/>
  <c r="AL141" i="8"/>
  <c r="AM141" i="8"/>
  <c r="AN141" i="8"/>
  <c r="AO141" i="8"/>
  <c r="AH142" i="8"/>
  <c r="AI142" i="8"/>
  <c r="AJ142" i="8"/>
  <c r="AK142" i="8"/>
  <c r="AL142" i="8"/>
  <c r="AM142" i="8"/>
  <c r="AN142" i="8"/>
  <c r="AO142" i="8"/>
  <c r="AH143" i="8"/>
  <c r="AI143" i="8"/>
  <c r="AJ143" i="8"/>
  <c r="AK143" i="8"/>
  <c r="AL143" i="8"/>
  <c r="AM143" i="8"/>
  <c r="AN143" i="8"/>
  <c r="AO143" i="8"/>
  <c r="AH144" i="8"/>
  <c r="AI144" i="8"/>
  <c r="AJ144" i="8"/>
  <c r="AK144" i="8"/>
  <c r="AL144" i="8"/>
  <c r="AM144" i="8"/>
  <c r="AN144" i="8"/>
  <c r="AO144" i="8"/>
  <c r="AH145" i="8"/>
  <c r="AI145" i="8"/>
  <c r="AJ145" i="8"/>
  <c r="AK145" i="8"/>
  <c r="AL145" i="8"/>
  <c r="AM145" i="8"/>
  <c r="AN145" i="8"/>
  <c r="AO145" i="8"/>
  <c r="AH146" i="8"/>
  <c r="AI146" i="8"/>
  <c r="AJ146" i="8"/>
  <c r="AK146" i="8"/>
  <c r="AL146" i="8"/>
  <c r="AM146" i="8"/>
  <c r="AN146" i="8"/>
  <c r="AO146" i="8"/>
  <c r="AH147" i="8"/>
  <c r="AI147" i="8"/>
  <c r="AJ147" i="8"/>
  <c r="AK147" i="8"/>
  <c r="AL147" i="8"/>
  <c r="AM147" i="8"/>
  <c r="AN147" i="8"/>
  <c r="AO147" i="8"/>
  <c r="AH148" i="8"/>
  <c r="AI148" i="8"/>
  <c r="AJ148" i="8"/>
  <c r="AK148" i="8"/>
  <c r="AL148" i="8"/>
  <c r="AM148" i="8"/>
  <c r="AN148" i="8"/>
  <c r="AO148" i="8"/>
  <c r="AH149" i="8"/>
  <c r="AI149" i="8"/>
  <c r="AJ149" i="8"/>
  <c r="AK149" i="8"/>
  <c r="AL149" i="8"/>
  <c r="AM149" i="8"/>
  <c r="AN149" i="8"/>
  <c r="AO149" i="8"/>
  <c r="AH150" i="8"/>
  <c r="AI150" i="8"/>
  <c r="AJ150" i="8"/>
  <c r="AK150" i="8"/>
  <c r="AL150" i="8"/>
  <c r="AM150" i="8"/>
  <c r="AN150" i="8"/>
  <c r="AO150" i="8"/>
  <c r="AH151" i="8"/>
  <c r="AI151" i="8"/>
  <c r="AJ151" i="8"/>
  <c r="AK151" i="8"/>
  <c r="AL151" i="8"/>
  <c r="AM151" i="8"/>
  <c r="AN151" i="8"/>
  <c r="AO151" i="8"/>
  <c r="AH152" i="8"/>
  <c r="AI152" i="8"/>
  <c r="AJ152" i="8"/>
  <c r="AK152" i="8"/>
  <c r="AL152" i="8"/>
  <c r="AM152" i="8"/>
  <c r="AN152" i="8"/>
  <c r="AO152" i="8"/>
  <c r="AH153" i="8"/>
  <c r="AI153" i="8"/>
  <c r="AJ153" i="8"/>
  <c r="AK153" i="8"/>
  <c r="AL153" i="8"/>
  <c r="AM153" i="8"/>
  <c r="AN153" i="8"/>
  <c r="AO153" i="8"/>
  <c r="AH117" i="8"/>
  <c r="AI117" i="8"/>
  <c r="AJ117" i="8"/>
  <c r="AK117" i="8"/>
  <c r="AL117" i="8"/>
  <c r="AM117" i="8"/>
  <c r="AN117" i="8"/>
  <c r="AO117" i="8"/>
  <c r="AH118" i="8"/>
  <c r="AI118" i="8"/>
  <c r="AJ118" i="8"/>
  <c r="AK118" i="8"/>
  <c r="AL118" i="8"/>
  <c r="AM118" i="8"/>
  <c r="AN118" i="8"/>
  <c r="AO118" i="8"/>
  <c r="AH119" i="8"/>
  <c r="AI119" i="8"/>
  <c r="AJ119" i="8"/>
  <c r="AK119" i="8"/>
  <c r="AL119" i="8"/>
  <c r="AM119" i="8"/>
  <c r="AN119" i="8"/>
  <c r="AO119" i="8"/>
  <c r="AH120" i="8"/>
  <c r="AI120" i="8"/>
  <c r="AJ120" i="8"/>
  <c r="AK120" i="8"/>
  <c r="AL120" i="8"/>
  <c r="AM120" i="8"/>
  <c r="AN120" i="8"/>
  <c r="AO120" i="8"/>
  <c r="AH121" i="8"/>
  <c r="AI121" i="8"/>
  <c r="AJ121" i="8"/>
  <c r="AK121" i="8"/>
  <c r="AL121" i="8"/>
  <c r="AM121" i="8"/>
  <c r="AN121" i="8"/>
  <c r="AO121" i="8"/>
  <c r="AH122" i="8"/>
  <c r="AI122" i="8"/>
  <c r="AJ122" i="8"/>
  <c r="AK122" i="8"/>
  <c r="AL122" i="8"/>
  <c r="AM122" i="8"/>
  <c r="AN122" i="8"/>
  <c r="AO122" i="8"/>
  <c r="AH123" i="8"/>
  <c r="AI123" i="8"/>
  <c r="AJ123" i="8"/>
  <c r="AK123" i="8"/>
  <c r="AL123" i="8"/>
  <c r="AM123" i="8"/>
  <c r="AN123" i="8"/>
  <c r="AO123" i="8"/>
  <c r="AH124" i="8"/>
  <c r="AI124" i="8"/>
  <c r="AJ124" i="8"/>
  <c r="AK124" i="8"/>
  <c r="AL124" i="8"/>
  <c r="AM124" i="8"/>
  <c r="AN124" i="8"/>
  <c r="AO124" i="8"/>
  <c r="AH125" i="8"/>
  <c r="AI125" i="8"/>
  <c r="AJ125" i="8"/>
  <c r="AK125" i="8"/>
  <c r="AL125" i="8"/>
  <c r="AM125" i="8"/>
  <c r="AN125" i="8"/>
  <c r="AO125" i="8"/>
  <c r="AH126" i="8"/>
  <c r="AI126" i="8"/>
  <c r="AJ126" i="8"/>
  <c r="AK126" i="8"/>
  <c r="AL126" i="8"/>
  <c r="AM126" i="8"/>
  <c r="AN126" i="8"/>
  <c r="AO126" i="8"/>
  <c r="AH127" i="8"/>
  <c r="AI127" i="8"/>
  <c r="AJ127" i="8"/>
  <c r="AK127" i="8"/>
  <c r="AL127" i="8"/>
  <c r="AM127" i="8"/>
  <c r="AN127" i="8"/>
  <c r="AO127" i="8"/>
  <c r="AH128" i="8"/>
  <c r="AI128" i="8"/>
  <c r="AJ128" i="8"/>
  <c r="AK128" i="8"/>
  <c r="AL128" i="8"/>
  <c r="AM128" i="8"/>
  <c r="AN128" i="8"/>
  <c r="AO128" i="8"/>
  <c r="AH129" i="8"/>
  <c r="AI129" i="8"/>
  <c r="AJ129" i="8"/>
  <c r="AK129" i="8"/>
  <c r="AL129" i="8"/>
  <c r="AM129" i="8"/>
  <c r="AN129" i="8"/>
  <c r="AO129" i="8"/>
  <c r="AH95" i="8"/>
  <c r="AI95" i="8"/>
  <c r="AJ95" i="8"/>
  <c r="AK95" i="8"/>
  <c r="AL95" i="8"/>
  <c r="AM95" i="8"/>
  <c r="AN95" i="8"/>
  <c r="AO95" i="8"/>
  <c r="AH96" i="8"/>
  <c r="AI96" i="8"/>
  <c r="AJ96" i="8"/>
  <c r="AK96" i="8"/>
  <c r="AL96" i="8"/>
  <c r="AM96" i="8"/>
  <c r="AN96" i="8"/>
  <c r="AO96" i="8"/>
  <c r="AH97" i="8"/>
  <c r="AI97" i="8"/>
  <c r="AJ97" i="8"/>
  <c r="AK97" i="8"/>
  <c r="AL97" i="8"/>
  <c r="AM97" i="8"/>
  <c r="AN97" i="8"/>
  <c r="AO97" i="8"/>
  <c r="AH98" i="8"/>
  <c r="AI98" i="8"/>
  <c r="AJ98" i="8"/>
  <c r="AK98" i="8"/>
  <c r="AL98" i="8"/>
  <c r="AM98" i="8"/>
  <c r="AN98" i="8"/>
  <c r="AO98" i="8"/>
  <c r="AH99" i="8"/>
  <c r="AI99" i="8"/>
  <c r="AJ99" i="8"/>
  <c r="AK99" i="8"/>
  <c r="AL99" i="8"/>
  <c r="AM99" i="8"/>
  <c r="AN99" i="8"/>
  <c r="AO99" i="8"/>
  <c r="AH100" i="8"/>
  <c r="AI100" i="8"/>
  <c r="AJ100" i="8"/>
  <c r="AK100" i="8"/>
  <c r="AL100" i="8"/>
  <c r="AM100" i="8"/>
  <c r="AN100" i="8"/>
  <c r="AO100" i="8"/>
  <c r="AH101" i="8"/>
  <c r="AI101" i="8"/>
  <c r="AJ101" i="8"/>
  <c r="AK101" i="8"/>
  <c r="AL101" i="8"/>
  <c r="AM101" i="8"/>
  <c r="AN101" i="8"/>
  <c r="AO101" i="8"/>
  <c r="AH102" i="8"/>
  <c r="AI102" i="8"/>
  <c r="AJ102" i="8"/>
  <c r="AK102" i="8"/>
  <c r="AL102" i="8"/>
  <c r="AM102" i="8"/>
  <c r="AN102" i="8"/>
  <c r="AO102" i="8"/>
  <c r="AH103" i="8"/>
  <c r="AI103" i="8"/>
  <c r="AJ103" i="8"/>
  <c r="AK103" i="8"/>
  <c r="AL103" i="8"/>
  <c r="AM103" i="8"/>
  <c r="AN103" i="8"/>
  <c r="AO103" i="8"/>
  <c r="AH104" i="8"/>
  <c r="AI104" i="8"/>
  <c r="AJ104" i="8"/>
  <c r="AK104" i="8"/>
  <c r="AL104" i="8"/>
  <c r="AM104" i="8"/>
  <c r="AN104" i="8"/>
  <c r="AO104" i="8"/>
  <c r="AH105" i="8"/>
  <c r="AI105" i="8"/>
  <c r="AJ105" i="8"/>
  <c r="AK105" i="8"/>
  <c r="AL105" i="8"/>
  <c r="AM105" i="8"/>
  <c r="AN105" i="8"/>
  <c r="AO105" i="8"/>
  <c r="AH106" i="8"/>
  <c r="AI106" i="8"/>
  <c r="AJ106" i="8"/>
  <c r="AK106" i="8"/>
  <c r="AL106" i="8"/>
  <c r="AM106" i="8"/>
  <c r="AN106" i="8"/>
  <c r="AO106" i="8"/>
  <c r="AH107" i="8"/>
  <c r="AI107" i="8"/>
  <c r="AJ107" i="8"/>
  <c r="AK107" i="8"/>
  <c r="AL107" i="8"/>
  <c r="AM107" i="8"/>
  <c r="AN107" i="8"/>
  <c r="AO107" i="8"/>
  <c r="AH71" i="8"/>
  <c r="AI71" i="8"/>
  <c r="AJ71" i="8"/>
  <c r="AK71" i="8"/>
  <c r="AL71" i="8"/>
  <c r="AM71" i="8"/>
  <c r="AN71" i="8"/>
  <c r="AO71" i="8"/>
  <c r="AH72" i="8"/>
  <c r="AI72" i="8"/>
  <c r="AJ72" i="8"/>
  <c r="AK72" i="8"/>
  <c r="AL72" i="8"/>
  <c r="AM72" i="8"/>
  <c r="AN72" i="8"/>
  <c r="AO72" i="8"/>
  <c r="AH73" i="8"/>
  <c r="AI73" i="8"/>
  <c r="AJ73" i="8"/>
  <c r="AK73" i="8"/>
  <c r="AL73" i="8"/>
  <c r="AM73" i="8"/>
  <c r="AN73" i="8"/>
  <c r="AO73" i="8"/>
  <c r="AH74" i="8"/>
  <c r="AI74" i="8"/>
  <c r="AJ74" i="8"/>
  <c r="AK74" i="8"/>
  <c r="AL74" i="8"/>
  <c r="AM74" i="8"/>
  <c r="AN74" i="8"/>
  <c r="AO74" i="8"/>
  <c r="AH75" i="8"/>
  <c r="AI75" i="8"/>
  <c r="AJ75" i="8"/>
  <c r="AK75" i="8"/>
  <c r="AL75" i="8"/>
  <c r="AM75" i="8"/>
  <c r="AN75" i="8"/>
  <c r="AO75" i="8"/>
  <c r="AH76" i="8"/>
  <c r="AI76" i="8"/>
  <c r="AJ76" i="8"/>
  <c r="AK76" i="8"/>
  <c r="AL76" i="8"/>
  <c r="AM76" i="8"/>
  <c r="AN76" i="8"/>
  <c r="AO76" i="8"/>
  <c r="AH77" i="8"/>
  <c r="AI77" i="8"/>
  <c r="AJ77" i="8"/>
  <c r="AK77" i="8"/>
  <c r="AL77" i="8"/>
  <c r="AM77" i="8"/>
  <c r="AN77" i="8"/>
  <c r="AO77" i="8"/>
  <c r="AH78" i="8"/>
  <c r="AI78" i="8"/>
  <c r="AJ78" i="8"/>
  <c r="AK78" i="8"/>
  <c r="AL78" i="8"/>
  <c r="AM78" i="8"/>
  <c r="AN78" i="8"/>
  <c r="AO78" i="8"/>
  <c r="AH79" i="8"/>
  <c r="AI79" i="8"/>
  <c r="AJ79" i="8"/>
  <c r="AK79" i="8"/>
  <c r="AL79" i="8"/>
  <c r="AM79" i="8"/>
  <c r="AN79" i="8"/>
  <c r="AO79" i="8"/>
  <c r="AH80" i="8"/>
  <c r="AI80" i="8"/>
  <c r="AJ80" i="8"/>
  <c r="AK80" i="8"/>
  <c r="AL80" i="8"/>
  <c r="AM80" i="8"/>
  <c r="AN80" i="8"/>
  <c r="AO80" i="8"/>
  <c r="AH81" i="8"/>
  <c r="AI81" i="8"/>
  <c r="AJ81" i="8"/>
  <c r="AK81" i="8"/>
  <c r="AL81" i="8"/>
  <c r="AM81" i="8"/>
  <c r="AN81" i="8"/>
  <c r="AO81" i="8"/>
  <c r="AH82" i="8"/>
  <c r="AI82" i="8"/>
  <c r="AJ82" i="8"/>
  <c r="AK82" i="8"/>
  <c r="AL82" i="8"/>
  <c r="AM82" i="8"/>
  <c r="AN82" i="8"/>
  <c r="AO82" i="8"/>
  <c r="AH83" i="8"/>
  <c r="AI83" i="8"/>
  <c r="AJ83" i="8"/>
  <c r="AK83" i="8"/>
  <c r="AL83" i="8"/>
  <c r="AM83" i="8"/>
  <c r="AN83" i="8"/>
  <c r="AO83" i="8"/>
  <c r="AL38" i="8"/>
  <c r="AM38" i="8"/>
  <c r="AN38" i="8"/>
  <c r="AO38" i="8"/>
  <c r="AP38" i="8"/>
  <c r="AQ38" i="8"/>
  <c r="AR38" i="8"/>
  <c r="AS38" i="8"/>
  <c r="AL23" i="8"/>
  <c r="AM23" i="8"/>
  <c r="AN23" i="8"/>
  <c r="AO23" i="8"/>
  <c r="AP23" i="8"/>
  <c r="AQ23" i="8"/>
  <c r="AR23" i="8"/>
  <c r="AS23" i="8"/>
  <c r="AB33" i="8"/>
  <c r="AB34" i="8"/>
  <c r="AB35" i="8"/>
  <c r="AB36" i="8"/>
  <c r="AB37" i="8"/>
  <c r="AB38" i="8"/>
  <c r="AB39" i="8"/>
  <c r="R33" i="8"/>
  <c r="R34" i="8"/>
  <c r="R35" i="8"/>
  <c r="R36" i="8"/>
  <c r="R37" i="8"/>
  <c r="R38" i="8"/>
  <c r="R39" i="8"/>
  <c r="R40" i="8"/>
  <c r="AB22" i="8"/>
  <c r="AB23" i="8"/>
  <c r="AB24" i="8"/>
  <c r="AB25" i="8"/>
  <c r="AB26" i="8"/>
  <c r="R22" i="8"/>
  <c r="R23" i="8"/>
  <c r="R24" i="8"/>
  <c r="R25" i="8"/>
  <c r="R26" i="8"/>
  <c r="R27" i="8"/>
  <c r="F37" i="8"/>
  <c r="F38" i="8"/>
  <c r="F39" i="8"/>
  <c r="F40" i="8"/>
  <c r="F35" i="8"/>
  <c r="F19" i="8"/>
  <c r="F20" i="8"/>
  <c r="F21" i="8"/>
  <c r="F22" i="8"/>
  <c r="F17" i="8"/>
  <c r="X141" i="8"/>
  <c r="Y141" i="8"/>
  <c r="Z141" i="8"/>
  <c r="AA141" i="8"/>
  <c r="AB141" i="8"/>
  <c r="AC141" i="8"/>
  <c r="AD141" i="8"/>
  <c r="AE141" i="8"/>
  <c r="X142" i="8"/>
  <c r="Y142" i="8"/>
  <c r="Z142" i="8"/>
  <c r="AA142" i="8"/>
  <c r="AB142" i="8"/>
  <c r="AC142" i="8"/>
  <c r="AD142" i="8"/>
  <c r="AE142" i="8"/>
  <c r="X143" i="8"/>
  <c r="Y143" i="8"/>
  <c r="Z143" i="8"/>
  <c r="AA143" i="8"/>
  <c r="AB143" i="8"/>
  <c r="AC143" i="8"/>
  <c r="AD143" i="8"/>
  <c r="AE143" i="8"/>
  <c r="X144" i="8"/>
  <c r="Y144" i="8"/>
  <c r="Z144" i="8"/>
  <c r="AA144" i="8"/>
  <c r="AB144" i="8"/>
  <c r="AC144" i="8"/>
  <c r="AD144" i="8"/>
  <c r="AE144" i="8"/>
  <c r="X145" i="8"/>
  <c r="Y145" i="8"/>
  <c r="Z145" i="8"/>
  <c r="AA145" i="8"/>
  <c r="AB145" i="8"/>
  <c r="AC145" i="8"/>
  <c r="AD145" i="8"/>
  <c r="AE145" i="8"/>
  <c r="X146" i="8"/>
  <c r="Y146" i="8"/>
  <c r="Z146" i="8"/>
  <c r="AA146" i="8"/>
  <c r="AB146" i="8"/>
  <c r="AC146" i="8"/>
  <c r="AD146" i="8"/>
  <c r="AE146" i="8"/>
  <c r="X147" i="8"/>
  <c r="Y147" i="8"/>
  <c r="Z147" i="8"/>
  <c r="AA147" i="8"/>
  <c r="AB147" i="8"/>
  <c r="AC147" i="8"/>
  <c r="AD147" i="8"/>
  <c r="AE147" i="8"/>
  <c r="X148" i="8"/>
  <c r="Y148" i="8"/>
  <c r="Z148" i="8"/>
  <c r="AA148" i="8"/>
  <c r="AB148" i="8"/>
  <c r="AC148" i="8"/>
  <c r="AD148" i="8"/>
  <c r="AE148" i="8"/>
  <c r="X149" i="8"/>
  <c r="Y149" i="8"/>
  <c r="Z149" i="8"/>
  <c r="AA149" i="8"/>
  <c r="AB149" i="8"/>
  <c r="AC149" i="8"/>
  <c r="AD149" i="8"/>
  <c r="AE149" i="8"/>
  <c r="X150" i="8"/>
  <c r="Y150" i="8"/>
  <c r="Z150" i="8"/>
  <c r="AA150" i="8"/>
  <c r="AB150" i="8"/>
  <c r="AC150" i="8"/>
  <c r="AD150" i="8"/>
  <c r="AE150" i="8"/>
  <c r="X151" i="8"/>
  <c r="Y151" i="8"/>
  <c r="Z151" i="8"/>
  <c r="AA151" i="8"/>
  <c r="AB151" i="8"/>
  <c r="AC151" i="8"/>
  <c r="AD151" i="8"/>
  <c r="AE151" i="8"/>
  <c r="X152" i="8"/>
  <c r="Y152" i="8"/>
  <c r="Z152" i="8"/>
  <c r="AA152" i="8"/>
  <c r="AB152" i="8"/>
  <c r="AC152" i="8"/>
  <c r="AD152" i="8"/>
  <c r="AE152" i="8"/>
  <c r="X153" i="8"/>
  <c r="Y153" i="8"/>
  <c r="Z153" i="8"/>
  <c r="AA153" i="8"/>
  <c r="AB153" i="8"/>
  <c r="AC153" i="8"/>
  <c r="AD153" i="8"/>
  <c r="AE153" i="8"/>
  <c r="X117" i="8"/>
  <c r="Y117" i="8"/>
  <c r="Z117" i="8"/>
  <c r="AA117" i="8"/>
  <c r="AB117" i="8"/>
  <c r="AC117" i="8"/>
  <c r="AD117" i="8"/>
  <c r="AE117" i="8"/>
  <c r="X118" i="8"/>
  <c r="Y118" i="8"/>
  <c r="Z118" i="8"/>
  <c r="AA118" i="8"/>
  <c r="AB118" i="8"/>
  <c r="AC118" i="8"/>
  <c r="AD118" i="8"/>
  <c r="AE118" i="8"/>
  <c r="X119" i="8"/>
  <c r="Y119" i="8"/>
  <c r="Z119" i="8"/>
  <c r="AA119" i="8"/>
  <c r="AB119" i="8"/>
  <c r="AC119" i="8"/>
  <c r="AD119" i="8"/>
  <c r="AE119" i="8"/>
  <c r="X120" i="8"/>
  <c r="Y120" i="8"/>
  <c r="Z120" i="8"/>
  <c r="AA120" i="8"/>
  <c r="AB120" i="8"/>
  <c r="AC120" i="8"/>
  <c r="AD120" i="8"/>
  <c r="AE120" i="8"/>
  <c r="X121" i="8"/>
  <c r="Y121" i="8"/>
  <c r="Z121" i="8"/>
  <c r="AA121" i="8"/>
  <c r="AB121" i="8"/>
  <c r="AC121" i="8"/>
  <c r="AD121" i="8"/>
  <c r="AE121" i="8"/>
  <c r="X122" i="8"/>
  <c r="Y122" i="8"/>
  <c r="Z122" i="8"/>
  <c r="AA122" i="8"/>
  <c r="AB122" i="8"/>
  <c r="AC122" i="8"/>
  <c r="AD122" i="8"/>
  <c r="AE122" i="8"/>
  <c r="X123" i="8"/>
  <c r="Y123" i="8"/>
  <c r="Z123" i="8"/>
  <c r="AA123" i="8"/>
  <c r="AB123" i="8"/>
  <c r="AC123" i="8"/>
  <c r="AD123" i="8"/>
  <c r="AE123" i="8"/>
  <c r="X124" i="8"/>
  <c r="Y124" i="8"/>
  <c r="Z124" i="8"/>
  <c r="AA124" i="8"/>
  <c r="AB124" i="8"/>
  <c r="AC124" i="8"/>
  <c r="AD124" i="8"/>
  <c r="AE124" i="8"/>
  <c r="X125" i="8"/>
  <c r="Y125" i="8"/>
  <c r="Z125" i="8"/>
  <c r="AA125" i="8"/>
  <c r="AB125" i="8"/>
  <c r="AC125" i="8"/>
  <c r="AD125" i="8"/>
  <c r="AE125" i="8"/>
  <c r="X126" i="8"/>
  <c r="Y126" i="8"/>
  <c r="Z126" i="8"/>
  <c r="AA126" i="8"/>
  <c r="AB126" i="8"/>
  <c r="AC126" i="8"/>
  <c r="AD126" i="8"/>
  <c r="AE126" i="8"/>
  <c r="X127" i="8"/>
  <c r="Y127" i="8"/>
  <c r="Z127" i="8"/>
  <c r="AA127" i="8"/>
  <c r="AB127" i="8"/>
  <c r="AC127" i="8"/>
  <c r="AD127" i="8"/>
  <c r="AE127" i="8"/>
  <c r="X128" i="8"/>
  <c r="Y128" i="8"/>
  <c r="Z128" i="8"/>
  <c r="AA128" i="8"/>
  <c r="AB128" i="8"/>
  <c r="AC128" i="8"/>
  <c r="AD128" i="8"/>
  <c r="AE128" i="8"/>
  <c r="X129" i="8"/>
  <c r="Y129" i="8"/>
  <c r="Z129" i="8"/>
  <c r="AA129" i="8"/>
  <c r="AB129" i="8"/>
  <c r="AC129" i="8"/>
  <c r="AD129" i="8"/>
  <c r="AE129" i="8"/>
  <c r="X95" i="8"/>
  <c r="Y95" i="8"/>
  <c r="Z95" i="8"/>
  <c r="AA95" i="8"/>
  <c r="AB95" i="8"/>
  <c r="AC95" i="8"/>
  <c r="AD95" i="8"/>
  <c r="AE95" i="8"/>
  <c r="X96" i="8"/>
  <c r="Y96" i="8"/>
  <c r="Z96" i="8"/>
  <c r="AA96" i="8"/>
  <c r="AB96" i="8"/>
  <c r="AC96" i="8"/>
  <c r="AD96" i="8"/>
  <c r="AE96" i="8"/>
  <c r="X97" i="8"/>
  <c r="Y97" i="8"/>
  <c r="Z97" i="8"/>
  <c r="AA97" i="8"/>
  <c r="AB97" i="8"/>
  <c r="AC97" i="8"/>
  <c r="AD97" i="8"/>
  <c r="AE97" i="8"/>
  <c r="X98" i="8"/>
  <c r="Y98" i="8"/>
  <c r="Z98" i="8"/>
  <c r="AA98" i="8"/>
  <c r="AB98" i="8"/>
  <c r="AC98" i="8"/>
  <c r="AD98" i="8"/>
  <c r="AE98" i="8"/>
  <c r="X99" i="8"/>
  <c r="Y99" i="8"/>
  <c r="Z99" i="8"/>
  <c r="AA99" i="8"/>
  <c r="AB99" i="8"/>
  <c r="AC99" i="8"/>
  <c r="AD99" i="8"/>
  <c r="AE99" i="8"/>
  <c r="X100" i="8"/>
  <c r="Y100" i="8"/>
  <c r="Z100" i="8"/>
  <c r="AA100" i="8"/>
  <c r="AB100" i="8"/>
  <c r="AC100" i="8"/>
  <c r="AD100" i="8"/>
  <c r="AE100" i="8"/>
  <c r="X101" i="8"/>
  <c r="Y101" i="8"/>
  <c r="Z101" i="8"/>
  <c r="AA101" i="8"/>
  <c r="AB101" i="8"/>
  <c r="AC101" i="8"/>
  <c r="AD101" i="8"/>
  <c r="AE101" i="8"/>
  <c r="X102" i="8"/>
  <c r="Y102" i="8"/>
  <c r="Z102" i="8"/>
  <c r="AA102" i="8"/>
  <c r="AB102" i="8"/>
  <c r="AC102" i="8"/>
  <c r="AD102" i="8"/>
  <c r="AE102" i="8"/>
  <c r="X103" i="8"/>
  <c r="Y103" i="8"/>
  <c r="Z103" i="8"/>
  <c r="AA103" i="8"/>
  <c r="AB103" i="8"/>
  <c r="AC103" i="8"/>
  <c r="AD103" i="8"/>
  <c r="AE103" i="8"/>
  <c r="X104" i="8"/>
  <c r="Y104" i="8"/>
  <c r="Z104" i="8"/>
  <c r="AA104" i="8"/>
  <c r="AB104" i="8"/>
  <c r="AC104" i="8"/>
  <c r="AD104" i="8"/>
  <c r="AE104" i="8"/>
  <c r="X105" i="8"/>
  <c r="Y105" i="8"/>
  <c r="Z105" i="8"/>
  <c r="AA105" i="8"/>
  <c r="AB105" i="8"/>
  <c r="AC105" i="8"/>
  <c r="AD105" i="8"/>
  <c r="AE105" i="8"/>
  <c r="X106" i="8"/>
  <c r="Y106" i="8"/>
  <c r="Z106" i="8"/>
  <c r="AA106" i="8"/>
  <c r="AB106" i="8"/>
  <c r="AC106" i="8"/>
  <c r="AD106" i="8"/>
  <c r="AE106" i="8"/>
  <c r="X107" i="8"/>
  <c r="Y107" i="8"/>
  <c r="Z107" i="8"/>
  <c r="AA107" i="8"/>
  <c r="AB107" i="8"/>
  <c r="AC107" i="8"/>
  <c r="AD107" i="8"/>
  <c r="AE107" i="8"/>
  <c r="X71" i="8"/>
  <c r="Y71" i="8"/>
  <c r="Z71" i="8"/>
  <c r="AA71" i="8"/>
  <c r="AB71" i="8"/>
  <c r="AC71" i="8"/>
  <c r="AD71" i="8"/>
  <c r="AE71" i="8"/>
  <c r="X72" i="8"/>
  <c r="Y72" i="8"/>
  <c r="Z72" i="8"/>
  <c r="AA72" i="8"/>
  <c r="AB72" i="8"/>
  <c r="AC72" i="8"/>
  <c r="AD72" i="8"/>
  <c r="AE72" i="8"/>
  <c r="X73" i="8"/>
  <c r="Y73" i="8"/>
  <c r="Z73" i="8"/>
  <c r="AA73" i="8"/>
  <c r="AB73" i="8"/>
  <c r="AC73" i="8"/>
  <c r="AD73" i="8"/>
  <c r="AE73" i="8"/>
  <c r="X74" i="8"/>
  <c r="Y74" i="8"/>
  <c r="Z74" i="8"/>
  <c r="AA74" i="8"/>
  <c r="AB74" i="8"/>
  <c r="AC74" i="8"/>
  <c r="AD74" i="8"/>
  <c r="AE74" i="8"/>
  <c r="X75" i="8"/>
  <c r="Y75" i="8"/>
  <c r="Z75" i="8"/>
  <c r="AA75" i="8"/>
  <c r="AB75" i="8"/>
  <c r="AC75" i="8"/>
  <c r="AD75" i="8"/>
  <c r="AE75" i="8"/>
  <c r="X76" i="8"/>
  <c r="Y76" i="8"/>
  <c r="Z76" i="8"/>
  <c r="AA76" i="8"/>
  <c r="AB76" i="8"/>
  <c r="AC76" i="8"/>
  <c r="AD76" i="8"/>
  <c r="AE76" i="8"/>
  <c r="X77" i="8"/>
  <c r="Y77" i="8"/>
  <c r="Z77" i="8"/>
  <c r="AA77" i="8"/>
  <c r="AB77" i="8"/>
  <c r="AC77" i="8"/>
  <c r="AD77" i="8"/>
  <c r="AE77" i="8"/>
  <c r="X78" i="8"/>
  <c r="Y78" i="8"/>
  <c r="Z78" i="8"/>
  <c r="AA78" i="8"/>
  <c r="AB78" i="8"/>
  <c r="AC78" i="8"/>
  <c r="AD78" i="8"/>
  <c r="AE78" i="8"/>
  <c r="X79" i="8"/>
  <c r="Y79" i="8"/>
  <c r="Z79" i="8"/>
  <c r="AA79" i="8"/>
  <c r="AB79" i="8"/>
  <c r="AC79" i="8"/>
  <c r="AD79" i="8"/>
  <c r="AE79" i="8"/>
  <c r="X80" i="8"/>
  <c r="Y80" i="8"/>
  <c r="Z80" i="8"/>
  <c r="AA80" i="8"/>
  <c r="AB80" i="8"/>
  <c r="AC80" i="8"/>
  <c r="AD80" i="8"/>
  <c r="AE80" i="8"/>
  <c r="X81" i="8"/>
  <c r="Y81" i="8"/>
  <c r="Z81" i="8"/>
  <c r="AA81" i="8"/>
  <c r="AB81" i="8"/>
  <c r="AC81" i="8"/>
  <c r="AD81" i="8"/>
  <c r="AE81" i="8"/>
  <c r="X82" i="8"/>
  <c r="Y82" i="8"/>
  <c r="Z82" i="8"/>
  <c r="AA82" i="8"/>
  <c r="AB82" i="8"/>
  <c r="AC82" i="8"/>
  <c r="AD82" i="8"/>
  <c r="AE82" i="8"/>
  <c r="X83" i="8"/>
  <c r="Y83" i="8"/>
  <c r="Z83" i="8"/>
  <c r="AA83" i="8"/>
  <c r="AB83" i="8"/>
  <c r="AC83" i="8"/>
  <c r="AD83" i="8"/>
  <c r="AE83" i="8"/>
  <c r="E37" i="8"/>
  <c r="E38" i="8"/>
  <c r="E39" i="8"/>
  <c r="E40" i="8"/>
  <c r="E35" i="8"/>
  <c r="E17" i="8"/>
  <c r="AA33" i="8"/>
  <c r="AA34" i="8"/>
  <c r="AA35" i="8"/>
  <c r="AA36" i="8"/>
  <c r="AA37" i="8"/>
  <c r="AA38" i="8"/>
  <c r="AA39" i="8"/>
  <c r="Q22" i="8"/>
  <c r="Q23" i="8"/>
  <c r="Q24" i="8"/>
  <c r="Q25" i="8"/>
  <c r="Q26" i="8"/>
  <c r="Q27" i="8"/>
  <c r="N141" i="8"/>
  <c r="O141" i="8"/>
  <c r="P141" i="8"/>
  <c r="Q141" i="8"/>
  <c r="R141" i="8"/>
  <c r="S141" i="8"/>
  <c r="T141" i="8"/>
  <c r="U141" i="8"/>
  <c r="N142" i="8"/>
  <c r="O142" i="8"/>
  <c r="P142" i="8"/>
  <c r="Q142" i="8"/>
  <c r="R142" i="8"/>
  <c r="S142" i="8"/>
  <c r="T142" i="8"/>
  <c r="U142" i="8"/>
  <c r="N143" i="8"/>
  <c r="O143" i="8"/>
  <c r="P143" i="8"/>
  <c r="Q143" i="8"/>
  <c r="R143" i="8"/>
  <c r="S143" i="8"/>
  <c r="T143" i="8"/>
  <c r="U143" i="8"/>
  <c r="N144" i="8"/>
  <c r="O144" i="8"/>
  <c r="P144" i="8"/>
  <c r="Q144" i="8"/>
  <c r="R144" i="8"/>
  <c r="S144" i="8"/>
  <c r="T144" i="8"/>
  <c r="U144" i="8"/>
  <c r="N145" i="8"/>
  <c r="O145" i="8"/>
  <c r="P145" i="8"/>
  <c r="Q145" i="8"/>
  <c r="R145" i="8"/>
  <c r="S145" i="8"/>
  <c r="T145" i="8"/>
  <c r="U145" i="8"/>
  <c r="N146" i="8"/>
  <c r="O146" i="8"/>
  <c r="P146" i="8"/>
  <c r="Q146" i="8"/>
  <c r="R146" i="8"/>
  <c r="S146" i="8"/>
  <c r="T146" i="8"/>
  <c r="U146" i="8"/>
  <c r="N147" i="8"/>
  <c r="O147" i="8"/>
  <c r="P147" i="8"/>
  <c r="Q147" i="8"/>
  <c r="R147" i="8"/>
  <c r="S147" i="8"/>
  <c r="T147" i="8"/>
  <c r="U147" i="8"/>
  <c r="N148" i="8"/>
  <c r="O148" i="8"/>
  <c r="P148" i="8"/>
  <c r="Q148" i="8"/>
  <c r="R148" i="8"/>
  <c r="S148" i="8"/>
  <c r="T148" i="8"/>
  <c r="U148" i="8"/>
  <c r="N149" i="8"/>
  <c r="O149" i="8"/>
  <c r="P149" i="8"/>
  <c r="Q149" i="8"/>
  <c r="R149" i="8"/>
  <c r="S149" i="8"/>
  <c r="T149" i="8"/>
  <c r="U149" i="8"/>
  <c r="N150" i="8"/>
  <c r="O150" i="8"/>
  <c r="P150" i="8"/>
  <c r="Q150" i="8"/>
  <c r="R150" i="8"/>
  <c r="S150" i="8"/>
  <c r="T150" i="8"/>
  <c r="U150" i="8"/>
  <c r="N151" i="8"/>
  <c r="O151" i="8"/>
  <c r="P151" i="8"/>
  <c r="Q151" i="8"/>
  <c r="R151" i="8"/>
  <c r="S151" i="8"/>
  <c r="T151" i="8"/>
  <c r="U151" i="8"/>
  <c r="N152" i="8"/>
  <c r="O152" i="8"/>
  <c r="P152" i="8"/>
  <c r="Q152" i="8"/>
  <c r="R152" i="8"/>
  <c r="S152" i="8"/>
  <c r="T152" i="8"/>
  <c r="U152" i="8"/>
  <c r="N153" i="8"/>
  <c r="O153" i="8"/>
  <c r="P153" i="8"/>
  <c r="Q153" i="8"/>
  <c r="R153" i="8"/>
  <c r="S153" i="8"/>
  <c r="T153" i="8"/>
  <c r="U153" i="8"/>
  <c r="N117" i="8"/>
  <c r="O117" i="8"/>
  <c r="P117" i="8"/>
  <c r="Q117" i="8"/>
  <c r="R117" i="8"/>
  <c r="S117" i="8"/>
  <c r="T117" i="8"/>
  <c r="U117" i="8"/>
  <c r="N118" i="8"/>
  <c r="O118" i="8"/>
  <c r="P118" i="8"/>
  <c r="Q118" i="8"/>
  <c r="R118" i="8"/>
  <c r="S118" i="8"/>
  <c r="T118" i="8"/>
  <c r="U118" i="8"/>
  <c r="N119" i="8"/>
  <c r="O119" i="8"/>
  <c r="P119" i="8"/>
  <c r="Q119" i="8"/>
  <c r="R119" i="8"/>
  <c r="S119" i="8"/>
  <c r="T119" i="8"/>
  <c r="U119" i="8"/>
  <c r="N120" i="8"/>
  <c r="O120" i="8"/>
  <c r="P120" i="8"/>
  <c r="Q120" i="8"/>
  <c r="R120" i="8"/>
  <c r="S120" i="8"/>
  <c r="T120" i="8"/>
  <c r="U120" i="8"/>
  <c r="N121" i="8"/>
  <c r="O121" i="8"/>
  <c r="P121" i="8"/>
  <c r="Q121" i="8"/>
  <c r="R121" i="8"/>
  <c r="S121" i="8"/>
  <c r="T121" i="8"/>
  <c r="U121" i="8"/>
  <c r="N122" i="8"/>
  <c r="O122" i="8"/>
  <c r="P122" i="8"/>
  <c r="Q122" i="8"/>
  <c r="R122" i="8"/>
  <c r="S122" i="8"/>
  <c r="T122" i="8"/>
  <c r="U122" i="8"/>
  <c r="N123" i="8"/>
  <c r="O123" i="8"/>
  <c r="P123" i="8"/>
  <c r="Q123" i="8"/>
  <c r="R123" i="8"/>
  <c r="S123" i="8"/>
  <c r="T123" i="8"/>
  <c r="U123" i="8"/>
  <c r="N124" i="8"/>
  <c r="O124" i="8"/>
  <c r="P124" i="8"/>
  <c r="Q124" i="8"/>
  <c r="R124" i="8"/>
  <c r="S124" i="8"/>
  <c r="T124" i="8"/>
  <c r="U124" i="8"/>
  <c r="N125" i="8"/>
  <c r="O125" i="8"/>
  <c r="P125" i="8"/>
  <c r="Q125" i="8"/>
  <c r="R125" i="8"/>
  <c r="S125" i="8"/>
  <c r="T125" i="8"/>
  <c r="U125" i="8"/>
  <c r="N126" i="8"/>
  <c r="O126" i="8"/>
  <c r="P126" i="8"/>
  <c r="Q126" i="8"/>
  <c r="R126" i="8"/>
  <c r="S126" i="8"/>
  <c r="T126" i="8"/>
  <c r="U126" i="8"/>
  <c r="N127" i="8"/>
  <c r="O127" i="8"/>
  <c r="P127" i="8"/>
  <c r="Q127" i="8"/>
  <c r="R127" i="8"/>
  <c r="S127" i="8"/>
  <c r="T127" i="8"/>
  <c r="U127" i="8"/>
  <c r="N128" i="8"/>
  <c r="O128" i="8"/>
  <c r="P128" i="8"/>
  <c r="Q128" i="8"/>
  <c r="R128" i="8"/>
  <c r="S128" i="8"/>
  <c r="T128" i="8"/>
  <c r="U128" i="8"/>
  <c r="N129" i="8"/>
  <c r="O129" i="8"/>
  <c r="P129" i="8"/>
  <c r="Q129" i="8"/>
  <c r="R129" i="8"/>
  <c r="S129" i="8"/>
  <c r="T129" i="8"/>
  <c r="U129" i="8"/>
  <c r="N95" i="8"/>
  <c r="O95" i="8"/>
  <c r="P95" i="8"/>
  <c r="Q95" i="8"/>
  <c r="R95" i="8"/>
  <c r="S95" i="8"/>
  <c r="T95" i="8"/>
  <c r="U95" i="8"/>
  <c r="N96" i="8"/>
  <c r="O96" i="8"/>
  <c r="P96" i="8"/>
  <c r="Q96" i="8"/>
  <c r="R96" i="8"/>
  <c r="S96" i="8"/>
  <c r="T96" i="8"/>
  <c r="U96" i="8"/>
  <c r="N97" i="8"/>
  <c r="O97" i="8"/>
  <c r="P97" i="8"/>
  <c r="Q97" i="8"/>
  <c r="R97" i="8"/>
  <c r="S97" i="8"/>
  <c r="T97" i="8"/>
  <c r="U97" i="8"/>
  <c r="N98" i="8"/>
  <c r="O98" i="8"/>
  <c r="P98" i="8"/>
  <c r="Q98" i="8"/>
  <c r="R98" i="8"/>
  <c r="S98" i="8"/>
  <c r="T98" i="8"/>
  <c r="U98" i="8"/>
  <c r="N99" i="8"/>
  <c r="O99" i="8"/>
  <c r="P99" i="8"/>
  <c r="Q99" i="8"/>
  <c r="R99" i="8"/>
  <c r="S99" i="8"/>
  <c r="T99" i="8"/>
  <c r="U99" i="8"/>
  <c r="N100" i="8"/>
  <c r="O100" i="8"/>
  <c r="P100" i="8"/>
  <c r="Q100" i="8"/>
  <c r="R100" i="8"/>
  <c r="S100" i="8"/>
  <c r="T100" i="8"/>
  <c r="U100" i="8"/>
  <c r="N101" i="8"/>
  <c r="O101" i="8"/>
  <c r="P101" i="8"/>
  <c r="Q101" i="8"/>
  <c r="R101" i="8"/>
  <c r="S101" i="8"/>
  <c r="T101" i="8"/>
  <c r="U101" i="8"/>
  <c r="N102" i="8"/>
  <c r="O102" i="8"/>
  <c r="P102" i="8"/>
  <c r="Q102" i="8"/>
  <c r="R102" i="8"/>
  <c r="S102" i="8"/>
  <c r="T102" i="8"/>
  <c r="U102" i="8"/>
  <c r="N103" i="8"/>
  <c r="O103" i="8"/>
  <c r="P103" i="8"/>
  <c r="Q103" i="8"/>
  <c r="R103" i="8"/>
  <c r="S103" i="8"/>
  <c r="T103" i="8"/>
  <c r="U103" i="8"/>
  <c r="N104" i="8"/>
  <c r="O104" i="8"/>
  <c r="P104" i="8"/>
  <c r="Q104" i="8"/>
  <c r="R104" i="8"/>
  <c r="S104" i="8"/>
  <c r="T104" i="8"/>
  <c r="U104" i="8"/>
  <c r="N105" i="8"/>
  <c r="O105" i="8"/>
  <c r="P105" i="8"/>
  <c r="Q105" i="8"/>
  <c r="R105" i="8"/>
  <c r="S105" i="8"/>
  <c r="T105" i="8"/>
  <c r="U105" i="8"/>
  <c r="N106" i="8"/>
  <c r="O106" i="8"/>
  <c r="P106" i="8"/>
  <c r="Q106" i="8"/>
  <c r="R106" i="8"/>
  <c r="S106" i="8"/>
  <c r="T106" i="8"/>
  <c r="U106" i="8"/>
  <c r="N107" i="8"/>
  <c r="O107" i="8"/>
  <c r="P107" i="8"/>
  <c r="Q107" i="8"/>
  <c r="R107" i="8"/>
  <c r="S107" i="8"/>
  <c r="T107" i="8"/>
  <c r="U107" i="8"/>
  <c r="N71" i="8"/>
  <c r="O71" i="8"/>
  <c r="P71" i="8"/>
  <c r="Q71" i="8"/>
  <c r="R71" i="8"/>
  <c r="S71" i="8"/>
  <c r="T71" i="8"/>
  <c r="U71" i="8"/>
  <c r="N72" i="8"/>
  <c r="O72" i="8"/>
  <c r="P72" i="8"/>
  <c r="Q72" i="8"/>
  <c r="R72" i="8"/>
  <c r="S72" i="8"/>
  <c r="T72" i="8"/>
  <c r="U72" i="8"/>
  <c r="N73" i="8"/>
  <c r="O73" i="8"/>
  <c r="P73" i="8"/>
  <c r="Q73" i="8"/>
  <c r="R73" i="8"/>
  <c r="S73" i="8"/>
  <c r="T73" i="8"/>
  <c r="U73" i="8"/>
  <c r="N74" i="8"/>
  <c r="O74" i="8"/>
  <c r="P74" i="8"/>
  <c r="Q74" i="8"/>
  <c r="R74" i="8"/>
  <c r="S74" i="8"/>
  <c r="T74" i="8"/>
  <c r="U74" i="8"/>
  <c r="N75" i="8"/>
  <c r="O75" i="8"/>
  <c r="P75" i="8"/>
  <c r="Q75" i="8"/>
  <c r="R75" i="8"/>
  <c r="S75" i="8"/>
  <c r="T75" i="8"/>
  <c r="U75" i="8"/>
  <c r="N76" i="8"/>
  <c r="O76" i="8"/>
  <c r="P76" i="8"/>
  <c r="Q76" i="8"/>
  <c r="R76" i="8"/>
  <c r="S76" i="8"/>
  <c r="T76" i="8"/>
  <c r="U76" i="8"/>
  <c r="N77" i="8"/>
  <c r="O77" i="8"/>
  <c r="P77" i="8"/>
  <c r="Q77" i="8"/>
  <c r="R77" i="8"/>
  <c r="S77" i="8"/>
  <c r="T77" i="8"/>
  <c r="U77" i="8"/>
  <c r="N78" i="8"/>
  <c r="O78" i="8"/>
  <c r="P78" i="8"/>
  <c r="Q78" i="8"/>
  <c r="R78" i="8"/>
  <c r="S78" i="8"/>
  <c r="T78" i="8"/>
  <c r="U78" i="8"/>
  <c r="N79" i="8"/>
  <c r="O79" i="8"/>
  <c r="P79" i="8"/>
  <c r="Q79" i="8"/>
  <c r="R79" i="8"/>
  <c r="S79" i="8"/>
  <c r="T79" i="8"/>
  <c r="U79" i="8"/>
  <c r="N80" i="8"/>
  <c r="O80" i="8"/>
  <c r="P80" i="8"/>
  <c r="Q80" i="8"/>
  <c r="R80" i="8"/>
  <c r="S80" i="8"/>
  <c r="T80" i="8"/>
  <c r="U80" i="8"/>
  <c r="N81" i="8"/>
  <c r="O81" i="8"/>
  <c r="P81" i="8"/>
  <c r="Q81" i="8"/>
  <c r="R81" i="8"/>
  <c r="S81" i="8"/>
  <c r="T81" i="8"/>
  <c r="U81" i="8"/>
  <c r="N82" i="8"/>
  <c r="O82" i="8"/>
  <c r="P82" i="8"/>
  <c r="Q82" i="8"/>
  <c r="R82" i="8"/>
  <c r="S82" i="8"/>
  <c r="T82" i="8"/>
  <c r="U82" i="8"/>
  <c r="N83" i="8"/>
  <c r="O83" i="8"/>
  <c r="P83" i="8"/>
  <c r="Q83" i="8"/>
  <c r="R83" i="8"/>
  <c r="S83" i="8"/>
  <c r="T83" i="8"/>
  <c r="U83" i="8"/>
  <c r="AL37" i="8"/>
  <c r="AM37" i="8"/>
  <c r="AN37" i="8"/>
  <c r="AO37" i="8"/>
  <c r="AP37" i="8"/>
  <c r="AQ37" i="8"/>
  <c r="AR37" i="8"/>
  <c r="AS37" i="8"/>
  <c r="AL22" i="8"/>
  <c r="AM22" i="8"/>
  <c r="AN22" i="8"/>
  <c r="AO22" i="8"/>
  <c r="AP22" i="8"/>
  <c r="AQ22" i="8"/>
  <c r="AR22" i="8"/>
  <c r="AS22" i="8"/>
  <c r="Z22" i="8"/>
  <c r="Z23" i="8"/>
  <c r="Z24" i="8"/>
  <c r="Z25" i="8"/>
  <c r="Z26" i="8"/>
  <c r="P22" i="8"/>
  <c r="P23" i="8"/>
  <c r="P24" i="8"/>
  <c r="P25" i="8"/>
  <c r="P26" i="8"/>
  <c r="P27" i="8"/>
  <c r="D37" i="8"/>
  <c r="D38" i="8"/>
  <c r="D39" i="8"/>
  <c r="D40" i="8"/>
  <c r="D19" i="8"/>
  <c r="D20" i="8"/>
  <c r="D21" i="8"/>
  <c r="D22" i="8"/>
  <c r="D117" i="8"/>
  <c r="E117" i="8"/>
  <c r="F117" i="8"/>
  <c r="G117" i="8"/>
  <c r="H117" i="8"/>
  <c r="I117" i="8"/>
  <c r="J117" i="8"/>
  <c r="K117" i="8"/>
  <c r="D118" i="8"/>
  <c r="E118" i="8"/>
  <c r="F118" i="8"/>
  <c r="G118" i="8"/>
  <c r="H118" i="8"/>
  <c r="I118" i="8"/>
  <c r="J118" i="8"/>
  <c r="K118" i="8"/>
  <c r="D119" i="8"/>
  <c r="E119" i="8"/>
  <c r="F119" i="8"/>
  <c r="G119" i="8"/>
  <c r="H119" i="8"/>
  <c r="I119" i="8"/>
  <c r="J119" i="8"/>
  <c r="K119" i="8"/>
  <c r="D120" i="8"/>
  <c r="E120" i="8"/>
  <c r="F120" i="8"/>
  <c r="G120" i="8"/>
  <c r="H120" i="8"/>
  <c r="I120" i="8"/>
  <c r="J120" i="8"/>
  <c r="K120" i="8"/>
  <c r="D121" i="8"/>
  <c r="E121" i="8"/>
  <c r="F121" i="8"/>
  <c r="G121" i="8"/>
  <c r="H121" i="8"/>
  <c r="I121" i="8"/>
  <c r="J121" i="8"/>
  <c r="K121" i="8"/>
  <c r="D122" i="8"/>
  <c r="E122" i="8"/>
  <c r="F122" i="8"/>
  <c r="G122" i="8"/>
  <c r="H122" i="8"/>
  <c r="I122" i="8"/>
  <c r="J122" i="8"/>
  <c r="K122" i="8"/>
  <c r="D123" i="8"/>
  <c r="E123" i="8"/>
  <c r="F123" i="8"/>
  <c r="G123" i="8"/>
  <c r="H123" i="8"/>
  <c r="I123" i="8"/>
  <c r="J123" i="8"/>
  <c r="K123" i="8"/>
  <c r="D124" i="8"/>
  <c r="E124" i="8"/>
  <c r="F124" i="8"/>
  <c r="G124" i="8"/>
  <c r="H124" i="8"/>
  <c r="I124" i="8"/>
  <c r="J124" i="8"/>
  <c r="K124" i="8"/>
  <c r="D125" i="8"/>
  <c r="E125" i="8"/>
  <c r="F125" i="8"/>
  <c r="G125" i="8"/>
  <c r="H125" i="8"/>
  <c r="I125" i="8"/>
  <c r="J125" i="8"/>
  <c r="K125" i="8"/>
  <c r="D126" i="8"/>
  <c r="E126" i="8"/>
  <c r="F126" i="8"/>
  <c r="G126" i="8"/>
  <c r="H126" i="8"/>
  <c r="I126" i="8"/>
  <c r="J126" i="8"/>
  <c r="K126" i="8"/>
  <c r="D127" i="8"/>
  <c r="E127" i="8"/>
  <c r="F127" i="8"/>
  <c r="G127" i="8"/>
  <c r="H127" i="8"/>
  <c r="I127" i="8"/>
  <c r="J127" i="8"/>
  <c r="K127" i="8"/>
  <c r="D128" i="8"/>
  <c r="E128" i="8"/>
  <c r="F128" i="8"/>
  <c r="G128" i="8"/>
  <c r="H128" i="8"/>
  <c r="I128" i="8"/>
  <c r="J128" i="8"/>
  <c r="K128" i="8"/>
  <c r="D129" i="8"/>
  <c r="E129" i="8"/>
  <c r="F129" i="8"/>
  <c r="G129" i="8"/>
  <c r="H129" i="8"/>
  <c r="I129" i="8"/>
  <c r="J129" i="8"/>
  <c r="K129" i="8"/>
  <c r="D71" i="8"/>
  <c r="E71" i="8"/>
  <c r="F71" i="8"/>
  <c r="G71" i="8"/>
  <c r="H71" i="8"/>
  <c r="I71" i="8"/>
  <c r="J71" i="8"/>
  <c r="K71" i="8"/>
  <c r="D72" i="8"/>
  <c r="E72" i="8"/>
  <c r="F72" i="8"/>
  <c r="G72" i="8"/>
  <c r="H72" i="8"/>
  <c r="I72" i="8"/>
  <c r="J72" i="8"/>
  <c r="K72" i="8"/>
  <c r="D73" i="8"/>
  <c r="E73" i="8"/>
  <c r="F73" i="8"/>
  <c r="G73" i="8"/>
  <c r="H73" i="8"/>
  <c r="I73" i="8"/>
  <c r="J73" i="8"/>
  <c r="K73" i="8"/>
  <c r="D74" i="8"/>
  <c r="E74" i="8"/>
  <c r="F74" i="8"/>
  <c r="G74" i="8"/>
  <c r="H74" i="8"/>
  <c r="I74" i="8"/>
  <c r="J74" i="8"/>
  <c r="K74" i="8"/>
  <c r="D75" i="8"/>
  <c r="E75" i="8"/>
  <c r="F75" i="8"/>
  <c r="G75" i="8"/>
  <c r="H75" i="8"/>
  <c r="I75" i="8"/>
  <c r="J75" i="8"/>
  <c r="K75" i="8"/>
  <c r="D76" i="8"/>
  <c r="E76" i="8"/>
  <c r="F76" i="8"/>
  <c r="G76" i="8"/>
  <c r="H76" i="8"/>
  <c r="I76" i="8"/>
  <c r="J76" i="8"/>
  <c r="K76" i="8"/>
  <c r="D77" i="8"/>
  <c r="E77" i="8"/>
  <c r="F77" i="8"/>
  <c r="G77" i="8"/>
  <c r="H77" i="8"/>
  <c r="I77" i="8"/>
  <c r="J77" i="8"/>
  <c r="K77" i="8"/>
  <c r="D78" i="8"/>
  <c r="E78" i="8"/>
  <c r="F78" i="8"/>
  <c r="G78" i="8"/>
  <c r="H78" i="8"/>
  <c r="I78" i="8"/>
  <c r="J78" i="8"/>
  <c r="K78" i="8"/>
  <c r="D79" i="8"/>
  <c r="E79" i="8"/>
  <c r="F79" i="8"/>
  <c r="G79" i="8"/>
  <c r="H79" i="8"/>
  <c r="I79" i="8"/>
  <c r="J79" i="8"/>
  <c r="K79" i="8"/>
  <c r="D80" i="8"/>
  <c r="E80" i="8"/>
  <c r="F80" i="8"/>
  <c r="G80" i="8"/>
  <c r="H80" i="8"/>
  <c r="I80" i="8"/>
  <c r="J80" i="8"/>
  <c r="K80" i="8"/>
  <c r="D81" i="8"/>
  <c r="E81" i="8"/>
  <c r="F81" i="8"/>
  <c r="G81" i="8"/>
  <c r="H81" i="8"/>
  <c r="I81" i="8"/>
  <c r="J81" i="8"/>
  <c r="K81" i="8"/>
  <c r="D82" i="8"/>
  <c r="E82" i="8"/>
  <c r="F82" i="8"/>
  <c r="G82" i="8"/>
  <c r="H82" i="8"/>
  <c r="I82" i="8"/>
  <c r="J82" i="8"/>
  <c r="K82" i="8"/>
  <c r="D83" i="8"/>
  <c r="E83" i="8"/>
  <c r="F83" i="8"/>
  <c r="G83" i="8"/>
  <c r="H83" i="8"/>
  <c r="I83" i="8"/>
  <c r="J83" i="8"/>
  <c r="K83" i="8"/>
  <c r="B129" i="8"/>
  <c r="B128" i="8"/>
  <c r="B127" i="8"/>
  <c r="B126" i="8"/>
  <c r="B125" i="8"/>
  <c r="B124" i="8"/>
  <c r="B123" i="8"/>
  <c r="B122" i="8"/>
  <c r="B121" i="8"/>
  <c r="B120" i="8"/>
  <c r="B119" i="8"/>
  <c r="B118" i="8"/>
  <c r="B117" i="8"/>
  <c r="C27" i="5"/>
  <c r="C34" i="5"/>
  <c r="C39" i="5"/>
  <c r="AO99" i="4"/>
  <c r="AO98" i="4"/>
  <c r="AO97" i="4"/>
  <c r="AO96" i="4"/>
  <c r="AO95" i="4"/>
  <c r="AO94" i="4"/>
  <c r="AO93" i="4"/>
  <c r="AO92" i="4"/>
  <c r="AO91" i="4"/>
  <c r="AO90" i="4"/>
  <c r="AO89" i="4"/>
  <c r="AO88" i="4"/>
  <c r="AO87" i="4"/>
  <c r="AO86" i="4"/>
  <c r="AO85" i="4"/>
  <c r="AO84" i="4"/>
  <c r="AO83" i="4"/>
  <c r="AO82" i="4"/>
  <c r="AO81" i="4"/>
  <c r="AO80" i="4"/>
  <c r="AO79" i="4"/>
  <c r="AO78" i="4"/>
  <c r="AO77" i="4"/>
  <c r="AO76" i="4"/>
  <c r="AO75" i="4"/>
  <c r="AO74" i="4"/>
  <c r="AO73" i="4"/>
  <c r="AO72" i="4"/>
  <c r="AO71" i="4"/>
  <c r="AO70" i="4"/>
  <c r="AO69" i="4"/>
  <c r="AO68" i="4"/>
  <c r="AO67" i="4"/>
  <c r="AO66" i="4"/>
  <c r="AO65" i="4"/>
  <c r="AO64" i="4"/>
  <c r="AO63" i="4"/>
  <c r="AO62" i="4"/>
  <c r="AO61" i="4"/>
  <c r="AO60" i="4"/>
  <c r="AO59" i="4"/>
  <c r="AO58" i="4"/>
  <c r="AO57" i="4"/>
  <c r="AO56" i="4"/>
  <c r="AO55" i="4"/>
  <c r="AO54" i="4"/>
  <c r="AO53" i="4"/>
  <c r="AO52" i="4"/>
  <c r="AO51" i="4"/>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B12" i="4"/>
  <c r="F151" i="4"/>
  <c r="D175" i="4"/>
  <c r="E177" i="4" s="1"/>
  <c r="F143" i="4"/>
  <c r="F181" i="4"/>
  <c r="C102" i="5"/>
  <c r="C42" i="5"/>
  <c r="C8" i="5"/>
  <c r="C9" i="5" s="1"/>
  <c r="C10" i="5" s="1"/>
  <c r="C11" i="5"/>
  <c r="C14" i="5"/>
  <c r="C19" i="5"/>
  <c r="F168" i="4"/>
  <c r="E178" i="4"/>
  <c r="F162" i="4"/>
  <c r="B19" i="4" s="1"/>
  <c r="M55" i="8"/>
  <c r="F161" i="4"/>
  <c r="AV17" i="4"/>
  <c r="AR17" i="4"/>
  <c r="B71" i="8"/>
  <c r="B72" i="8"/>
  <c r="B73" i="8"/>
  <c r="B74" i="8"/>
  <c r="B75" i="8"/>
  <c r="B76" i="8"/>
  <c r="B77" i="8"/>
  <c r="B78" i="8"/>
  <c r="B79" i="8"/>
  <c r="B80" i="8"/>
  <c r="B81" i="8"/>
  <c r="B82" i="8"/>
  <c r="B83" i="8"/>
  <c r="AM69" i="4"/>
  <c r="AM99" i="4"/>
  <c r="AQ91" i="4"/>
  <c r="AQ79" i="4"/>
  <c r="AQ75" i="4"/>
  <c r="AQ59" i="4"/>
  <c r="BD87" i="4"/>
  <c r="BD59" i="4"/>
  <c r="AL71" i="4"/>
  <c r="AN83" i="4"/>
  <c r="AL95" i="4"/>
  <c r="AN43" i="4"/>
  <c r="AL41" i="4"/>
  <c r="AN77" i="4"/>
  <c r="AN81" i="4"/>
  <c r="AT89" i="4"/>
  <c r="AL89" i="4"/>
  <c r="AL82" i="4"/>
  <c r="BF99" i="4"/>
  <c r="BF39" i="4"/>
  <c r="AR59" i="4"/>
  <c r="AR79" i="4"/>
  <c r="AX79" i="4"/>
  <c r="AW59" i="4"/>
  <c r="AX67" i="4"/>
  <c r="AW67" i="4"/>
  <c r="AV47" i="4"/>
  <c r="AV41" i="4"/>
  <c r="AW35" i="4"/>
  <c r="AV87" i="4"/>
  <c r="AX57" i="4"/>
  <c r="AW77" i="4"/>
  <c r="AX55" i="4"/>
  <c r="AW51" i="4"/>
  <c r="AZ43" i="4"/>
  <c r="BE55" i="4"/>
  <c r="BE81" i="4"/>
  <c r="AI1" i="4"/>
  <c r="AK1" i="4"/>
  <c r="CR29" i="4"/>
  <c r="CS29" i="4" s="1"/>
  <c r="CR21" i="4"/>
  <c r="CS21" i="4" s="1"/>
  <c r="CV36" i="4"/>
  <c r="CV40" i="4"/>
  <c r="CV51" i="4"/>
  <c r="CV47" i="4"/>
  <c r="CV44" i="4"/>
  <c r="CV39" i="4"/>
  <c r="CV35" i="4"/>
  <c r="CV46" i="4"/>
  <c r="CV42" i="4"/>
  <c r="CV38" i="4"/>
  <c r="CV50" i="4"/>
  <c r="CV43" i="4"/>
  <c r="CV45" i="4"/>
  <c r="CV49" i="4"/>
  <c r="CV41" i="4"/>
  <c r="CV37" i="4"/>
  <c r="CV48" i="4"/>
  <c r="F133" i="4" l="1"/>
  <c r="F154" i="4" s="1"/>
  <c r="H154" i="4" s="1"/>
  <c r="S154" i="4" s="1"/>
  <c r="AJ34" i="4"/>
  <c r="AN78" i="4"/>
  <c r="AP78" i="4"/>
  <c r="AP46" i="4"/>
  <c r="AP86" i="4"/>
  <c r="AP54" i="4"/>
  <c r="AP84" i="4"/>
  <c r="AP52" i="4"/>
  <c r="AP76" i="4"/>
  <c r="AP44" i="4"/>
  <c r="AP70" i="4"/>
  <c r="AP38" i="4"/>
  <c r="AP68" i="4"/>
  <c r="AP36" i="4"/>
  <c r="AP94" i="4"/>
  <c r="AP62" i="4"/>
  <c r="AP92" i="4"/>
  <c r="AP60" i="4"/>
  <c r="AL90" i="4"/>
  <c r="AW66" i="4"/>
  <c r="AV90" i="4"/>
  <c r="AP99" i="4"/>
  <c r="AP91" i="4"/>
  <c r="AP83" i="4"/>
  <c r="AP75" i="4"/>
  <c r="AP67" i="4"/>
  <c r="AP59" i="4"/>
  <c r="AP51" i="4"/>
  <c r="AP43" i="4"/>
  <c r="AP35" i="4"/>
  <c r="AP98" i="4"/>
  <c r="AP90" i="4"/>
  <c r="AP82" i="4"/>
  <c r="AP74" i="4"/>
  <c r="AP66" i="4"/>
  <c r="AP58" i="4"/>
  <c r="AP50" i="4"/>
  <c r="AP42" i="4"/>
  <c r="AW58" i="4"/>
  <c r="AW50" i="4"/>
  <c r="AQ66" i="4"/>
  <c r="BD26" i="4"/>
  <c r="AP97" i="4"/>
  <c r="AP89" i="4"/>
  <c r="AP81" i="4"/>
  <c r="AP73" i="4"/>
  <c r="AP65" i="4"/>
  <c r="AP57" i="4"/>
  <c r="AP49" i="4"/>
  <c r="AP41" i="4"/>
  <c r="BD98" i="4"/>
  <c r="AP96" i="4"/>
  <c r="AP72" i="4"/>
  <c r="AP48" i="4"/>
  <c r="AP95" i="4"/>
  <c r="AP87" i="4"/>
  <c r="AP79" i="4"/>
  <c r="AP71" i="4"/>
  <c r="AP63" i="4"/>
  <c r="AP55" i="4"/>
  <c r="AP47" i="4"/>
  <c r="AP39" i="4"/>
  <c r="AV66" i="4"/>
  <c r="AP93" i="4"/>
  <c r="AP85" i="4"/>
  <c r="AP77" i="4"/>
  <c r="AP69" i="4"/>
  <c r="AP61" i="4"/>
  <c r="AP53" i="4"/>
  <c r="AP45" i="4"/>
  <c r="AP37" i="4"/>
  <c r="BE68" i="4"/>
  <c r="AZ44" i="4"/>
  <c r="AR52" i="4"/>
  <c r="BF68" i="4"/>
  <c r="AT92" i="4"/>
  <c r="AV60" i="4"/>
  <c r="AX68" i="4"/>
  <c r="AN76" i="4"/>
  <c r="AM60" i="4"/>
  <c r="AZ84" i="4"/>
  <c r="AN44" i="4"/>
  <c r="AL84" i="4"/>
  <c r="AM92" i="4"/>
  <c r="BE62" i="4"/>
  <c r="DN91" i="4"/>
  <c r="AV70" i="4"/>
  <c r="AX62" i="4"/>
  <c r="AZ94" i="4"/>
  <c r="AV38" i="4"/>
  <c r="AR70" i="4"/>
  <c r="AW86" i="4"/>
  <c r="BF46" i="4"/>
  <c r="AL78" i="4"/>
  <c r="AQ70" i="4"/>
  <c r="AR94" i="4"/>
  <c r="AT46" i="4"/>
  <c r="AU46" i="4" s="1"/>
  <c r="AQ54" i="4"/>
  <c r="DQ56" i="4"/>
  <c r="DN74" i="4"/>
  <c r="DT42" i="4"/>
  <c r="DT99" i="4"/>
  <c r="DQ49" i="4"/>
  <c r="DQ61" i="4"/>
  <c r="CX81" i="4"/>
  <c r="CY60" i="4"/>
  <c r="BE44" i="4"/>
  <c r="AZ60" i="4"/>
  <c r="AM52" i="4"/>
  <c r="AW76" i="4"/>
  <c r="AV36" i="4"/>
  <c r="BF84" i="4"/>
  <c r="AR84" i="4"/>
  <c r="AN60" i="4"/>
  <c r="AR92" i="4"/>
  <c r="BD76" i="4"/>
  <c r="BD44" i="4"/>
  <c r="AM84" i="4"/>
  <c r="BE52" i="4"/>
  <c r="AZ76" i="4"/>
  <c r="AZ92" i="4"/>
  <c r="AW60" i="4"/>
  <c r="AV76" i="4"/>
  <c r="AX52" i="4"/>
  <c r="AX60" i="4"/>
  <c r="AR44" i="4"/>
  <c r="BF76" i="4"/>
  <c r="AL44" i="4"/>
  <c r="AN52" i="4"/>
  <c r="AN92" i="4"/>
  <c r="BD84" i="4"/>
  <c r="AQ60" i="4"/>
  <c r="AQ92" i="4"/>
  <c r="BE84" i="4"/>
  <c r="AZ52" i="4"/>
  <c r="AW68" i="4"/>
  <c r="AV68" i="4"/>
  <c r="AX44" i="4"/>
  <c r="AR76" i="4"/>
  <c r="AT76" i="4"/>
  <c r="AU76" i="4" s="1"/>
  <c r="AR68" i="4"/>
  <c r="AT36" i="4"/>
  <c r="AU36" i="4" s="1"/>
  <c r="BF60" i="4"/>
  <c r="AT84" i="4"/>
  <c r="AU84" i="4" s="1"/>
  <c r="BF44" i="4"/>
  <c r="AL60" i="4"/>
  <c r="BD92" i="4"/>
  <c r="AQ68" i="4"/>
  <c r="BE60" i="4"/>
  <c r="AZ36" i="4"/>
  <c r="AX76" i="4"/>
  <c r="AW84" i="4"/>
  <c r="AT52" i="4"/>
  <c r="AU52" i="4" s="1"/>
  <c r="AT44" i="4"/>
  <c r="AU44" i="4" s="1"/>
  <c r="AL76" i="4"/>
  <c r="AN68" i="4"/>
  <c r="AN84" i="4"/>
  <c r="BD52" i="4"/>
  <c r="AM68" i="4"/>
  <c r="BE76" i="4"/>
  <c r="AX36" i="4"/>
  <c r="AV84" i="4"/>
  <c r="BF36" i="4"/>
  <c r="AT68" i="4"/>
  <c r="AU68" i="4" s="1"/>
  <c r="AL52" i="4"/>
  <c r="AL36" i="4"/>
  <c r="AQ52" i="4"/>
  <c r="AQ76" i="4"/>
  <c r="BE92" i="4"/>
  <c r="AM44" i="4"/>
  <c r="AW44" i="4"/>
  <c r="AW52" i="4"/>
  <c r="AR36" i="4"/>
  <c r="AX92" i="4"/>
  <c r="BF92" i="4"/>
  <c r="AL92" i="4"/>
  <c r="AL68" i="4"/>
  <c r="BF52" i="4"/>
  <c r="AN36" i="4"/>
  <c r="BD60" i="4"/>
  <c r="AQ44" i="4"/>
  <c r="BE36" i="4"/>
  <c r="AZ68" i="4"/>
  <c r="AM36" i="4"/>
  <c r="AW36" i="4"/>
  <c r="AT60" i="4"/>
  <c r="AU60" i="4" s="1"/>
  <c r="AW92" i="4"/>
  <c r="AX84" i="4"/>
  <c r="BD36" i="4"/>
  <c r="CZ37" i="4"/>
  <c r="CX22" i="4"/>
  <c r="DQ59" i="4"/>
  <c r="CY80" i="4"/>
  <c r="DN84" i="4"/>
  <c r="DT41" i="4"/>
  <c r="DP48" i="4"/>
  <c r="DQ50" i="4"/>
  <c r="CX30" i="4"/>
  <c r="DT73" i="4"/>
  <c r="DT92" i="4"/>
  <c r="DT55" i="4"/>
  <c r="DO84" i="4"/>
  <c r="CY70" i="4"/>
  <c r="DA54" i="4"/>
  <c r="DN55" i="4"/>
  <c r="DT36" i="4"/>
  <c r="DP50" i="4"/>
  <c r="CZ25" i="4"/>
  <c r="CX48" i="4"/>
  <c r="DT63" i="4"/>
  <c r="DT86" i="4"/>
  <c r="DQ94" i="4"/>
  <c r="DO79" i="4"/>
  <c r="CX63" i="4"/>
  <c r="CY61" i="4"/>
  <c r="DA83" i="4"/>
  <c r="DN51" i="4"/>
  <c r="DO20" i="4"/>
  <c r="DN23" i="4"/>
  <c r="DT31" i="4"/>
  <c r="DI33" i="4"/>
  <c r="DI65" i="4"/>
  <c r="DI93" i="4"/>
  <c r="DN89" i="4"/>
  <c r="DA39" i="4"/>
  <c r="DA82" i="4"/>
  <c r="DN70" i="4"/>
  <c r="DA44" i="4"/>
  <c r="DA42" i="4"/>
  <c r="DN40" i="4"/>
  <c r="DN90" i="4"/>
  <c r="DA81" i="4"/>
  <c r="DN79" i="4"/>
  <c r="DN98" i="4"/>
  <c r="DA22" i="4"/>
  <c r="DN75" i="4"/>
  <c r="DA73" i="4"/>
  <c r="DN63" i="4"/>
  <c r="DA75" i="4"/>
  <c r="DN77" i="4"/>
  <c r="CY76" i="4"/>
  <c r="CY87" i="4"/>
  <c r="CY84" i="4"/>
  <c r="CY82" i="4"/>
  <c r="CY62" i="4"/>
  <c r="CY58" i="4"/>
  <c r="DO81" i="4"/>
  <c r="DO58" i="4"/>
  <c r="CX79" i="4"/>
  <c r="CX75" i="4"/>
  <c r="DO96" i="4"/>
  <c r="DO85" i="4"/>
  <c r="CX59" i="4"/>
  <c r="CX80" i="4"/>
  <c r="CX67" i="4"/>
  <c r="CX56" i="4"/>
  <c r="DO54" i="4"/>
  <c r="DO91" i="4"/>
  <c r="DP59" i="4"/>
  <c r="DT62" i="4"/>
  <c r="DT64" i="4"/>
  <c r="DP70" i="4"/>
  <c r="DP69" i="4"/>
  <c r="DP80" i="4"/>
  <c r="CZ98" i="4"/>
  <c r="DT97" i="4"/>
  <c r="DP96" i="4"/>
  <c r="DP72" i="4"/>
  <c r="DT57" i="4"/>
  <c r="DP98" i="4"/>
  <c r="DT84" i="4"/>
  <c r="DQ55" i="4"/>
  <c r="DT91" i="4"/>
  <c r="DP90" i="4"/>
  <c r="DQ79" i="4"/>
  <c r="CZ95" i="4"/>
  <c r="CZ55" i="4"/>
  <c r="DQ92" i="4"/>
  <c r="CZ61" i="4"/>
  <c r="CZ85" i="4"/>
  <c r="DP62" i="4"/>
  <c r="DQ98" i="4"/>
  <c r="CY37" i="4"/>
  <c r="CY41" i="4"/>
  <c r="CZ50" i="4"/>
  <c r="CX38" i="4"/>
  <c r="CX43" i="4"/>
  <c r="CX35" i="4"/>
  <c r="CX40" i="4"/>
  <c r="DO36" i="4"/>
  <c r="DQ38" i="4"/>
  <c r="CZ29" i="4"/>
  <c r="CZ36" i="4"/>
  <c r="CZ23" i="4"/>
  <c r="CZ39" i="4"/>
  <c r="CZ42" i="4"/>
  <c r="DT47" i="4"/>
  <c r="DP40" i="4"/>
  <c r="DP35" i="4"/>
  <c r="DO23" i="4"/>
  <c r="DO32" i="4"/>
  <c r="DI34" i="4"/>
  <c r="DI66" i="4"/>
  <c r="DI94" i="4"/>
  <c r="DA20" i="4"/>
  <c r="DN57" i="4"/>
  <c r="DN76" i="4"/>
  <c r="DA50" i="4"/>
  <c r="DN38" i="4"/>
  <c r="DN52" i="4"/>
  <c r="DN56" i="4"/>
  <c r="DN93" i="4"/>
  <c r="DA80" i="4"/>
  <c r="DA49" i="4"/>
  <c r="DN94" i="4"/>
  <c r="DA66" i="4"/>
  <c r="DA95" i="4"/>
  <c r="DN46" i="4"/>
  <c r="DA41" i="4"/>
  <c r="DA97" i="4"/>
  <c r="DN97" i="4"/>
  <c r="DA45" i="4"/>
  <c r="CY88" i="4"/>
  <c r="CY53" i="4"/>
  <c r="CY96" i="4"/>
  <c r="CY83" i="4"/>
  <c r="CY56" i="4"/>
  <c r="CY72" i="4"/>
  <c r="DO93" i="4"/>
  <c r="DO70" i="4"/>
  <c r="CX93" i="4"/>
  <c r="CX87" i="4"/>
  <c r="CX52" i="4"/>
  <c r="DO97" i="4"/>
  <c r="DO62" i="4"/>
  <c r="CX82" i="4"/>
  <c r="CX69" i="4"/>
  <c r="CX70" i="4"/>
  <c r="DO66" i="4"/>
  <c r="DO56" i="4"/>
  <c r="DQ64" i="4"/>
  <c r="DP66" i="4"/>
  <c r="DP68" i="4"/>
  <c r="DQ75" i="4"/>
  <c r="DQ74" i="4"/>
  <c r="DQ87" i="4"/>
  <c r="DT68" i="4"/>
  <c r="CZ63" i="4"/>
  <c r="CZ52" i="4"/>
  <c r="DP75" i="4"/>
  <c r="DQ69" i="4"/>
  <c r="DP52" i="4"/>
  <c r="DP88" i="4"/>
  <c r="DP64" i="4"/>
  <c r="DP95" i="4"/>
  <c r="DQ95" i="4"/>
  <c r="DP85" i="4"/>
  <c r="DQ86" i="4"/>
  <c r="CZ78" i="4"/>
  <c r="DT69" i="4"/>
  <c r="CZ82" i="4"/>
  <c r="DQ53" i="4"/>
  <c r="DT83" i="4"/>
  <c r="CZ72" i="4"/>
  <c r="CY49" i="4"/>
  <c r="DQ43" i="4"/>
  <c r="CX29" i="4"/>
  <c r="CX46" i="4"/>
  <c r="CX39" i="4"/>
  <c r="CX32" i="4"/>
  <c r="DO48" i="4"/>
  <c r="DO38" i="4"/>
  <c r="CZ49" i="4"/>
  <c r="DQ44" i="4"/>
  <c r="DQ47" i="4"/>
  <c r="CZ47" i="4"/>
  <c r="CZ26" i="4"/>
  <c r="DT37" i="4"/>
  <c r="DT51" i="4"/>
  <c r="DP36" i="4"/>
  <c r="DP44" i="4"/>
  <c r="DQ23" i="4"/>
  <c r="DI35" i="4"/>
  <c r="DI67" i="4"/>
  <c r="DI97" i="4"/>
  <c r="DN72" i="4"/>
  <c r="DA55" i="4"/>
  <c r="DN44" i="4"/>
  <c r="DA96" i="4"/>
  <c r="DA48" i="4"/>
  <c r="DN58" i="4"/>
  <c r="DA43" i="4"/>
  <c r="DA61" i="4"/>
  <c r="DN99" i="4"/>
  <c r="DA64" i="4"/>
  <c r="DA68" i="4"/>
  <c r="DA91" i="4"/>
  <c r="DA85" i="4"/>
  <c r="DA84" i="4"/>
  <c r="DN86" i="4"/>
  <c r="DN71" i="4"/>
  <c r="DN65" i="4"/>
  <c r="DN88" i="4"/>
  <c r="CY90" i="4"/>
  <c r="CY65" i="4"/>
  <c r="CY86" i="4"/>
  <c r="CY97" i="4"/>
  <c r="CY68" i="4"/>
  <c r="CY73" i="4"/>
  <c r="CX61" i="4"/>
  <c r="DO82" i="4"/>
  <c r="CX83" i="4"/>
  <c r="CX99" i="4"/>
  <c r="CX64" i="4"/>
  <c r="CX53" i="4"/>
  <c r="DO74" i="4"/>
  <c r="CX96" i="4"/>
  <c r="CX94" i="4"/>
  <c r="CX95" i="4"/>
  <c r="DO78" i="4"/>
  <c r="DO68" i="4"/>
  <c r="DT67" i="4"/>
  <c r="DQ71" i="4"/>
  <c r="DQ73" i="4"/>
  <c r="DT78" i="4"/>
  <c r="DT77" i="4"/>
  <c r="DT90" i="4"/>
  <c r="DT71" i="4"/>
  <c r="DQ54" i="4"/>
  <c r="CZ64" i="4"/>
  <c r="DT80" i="4"/>
  <c r="DQ72" i="4"/>
  <c r="DP55" i="4"/>
  <c r="DQ93" i="4"/>
  <c r="DP67" i="4"/>
  <c r="DT61" i="4"/>
  <c r="DT98" i="4"/>
  <c r="DQ90" i="4"/>
  <c r="DP93" i="4"/>
  <c r="CZ96" i="4"/>
  <c r="CZ60" i="4"/>
  <c r="DT95" i="4"/>
  <c r="CZ73" i="4"/>
  <c r="CZ69" i="4"/>
  <c r="CZ90" i="4"/>
  <c r="CY43" i="4"/>
  <c r="CY42" i="4"/>
  <c r="CX44" i="4"/>
  <c r="CX47" i="4"/>
  <c r="CX20" i="4"/>
  <c r="CX42" i="4"/>
  <c r="CX33" i="4"/>
  <c r="DO44" i="4"/>
  <c r="DO41" i="4"/>
  <c r="DQ30" i="4"/>
  <c r="DQ45" i="4"/>
  <c r="DQ35" i="4"/>
  <c r="CZ35" i="4"/>
  <c r="DQ48" i="4"/>
  <c r="CZ27" i="4"/>
  <c r="DT43" i="4"/>
  <c r="DN24" i="4"/>
  <c r="DO33" i="4"/>
  <c r="DI37" i="4"/>
  <c r="DI69" i="4"/>
  <c r="DI99" i="4"/>
  <c r="DA51" i="4"/>
  <c r="DA70" i="4"/>
  <c r="DA92" i="4"/>
  <c r="DN59" i="4"/>
  <c r="DA69" i="4"/>
  <c r="DN87" i="4"/>
  <c r="DN81" i="4"/>
  <c r="DA79" i="4"/>
  <c r="DN35" i="4"/>
  <c r="DN62" i="4"/>
  <c r="DA36" i="4"/>
  <c r="DA27" i="4"/>
  <c r="DA53" i="4"/>
  <c r="DN83" i="4"/>
  <c r="DN54" i="4"/>
  <c r="DA52" i="4"/>
  <c r="DA87" i="4"/>
  <c r="DA47" i="4"/>
  <c r="CY67" i="4"/>
  <c r="CY77" i="4"/>
  <c r="CY54" i="4"/>
  <c r="CY99" i="4"/>
  <c r="CY71" i="4"/>
  <c r="CY95" i="4"/>
  <c r="CX73" i="4"/>
  <c r="DO94" i="4"/>
  <c r="DO59" i="4"/>
  <c r="CX92" i="4"/>
  <c r="CX76" i="4"/>
  <c r="CX65" i="4"/>
  <c r="DO86" i="4"/>
  <c r="DO63" i="4"/>
  <c r="CX72" i="4"/>
  <c r="DO53" i="4"/>
  <c r="DO90" i="4"/>
  <c r="DO80" i="4"/>
  <c r="DP71" i="4"/>
  <c r="DT74" i="4"/>
  <c r="DT76" i="4"/>
  <c r="DP82" i="4"/>
  <c r="DT30" i="4"/>
  <c r="DP94" i="4"/>
  <c r="DQ80" i="4"/>
  <c r="DP60" i="4"/>
  <c r="CZ76" i="4"/>
  <c r="DQ84" i="4"/>
  <c r="DQ78" i="4"/>
  <c r="DQ58" i="4"/>
  <c r="DT96" i="4"/>
  <c r="DQ70" i="4"/>
  <c r="DQ67" i="4"/>
  <c r="CZ58" i="4"/>
  <c r="DT93" i="4"/>
  <c r="CZ54" i="4"/>
  <c r="DQ65" i="4"/>
  <c r="CZ81" i="4"/>
  <c r="CZ65" i="4"/>
  <c r="CZ93" i="4"/>
  <c r="CZ89" i="4"/>
  <c r="DP65" i="4"/>
  <c r="CY46" i="4"/>
  <c r="CY38" i="4"/>
  <c r="CY44" i="4"/>
  <c r="CX45" i="4"/>
  <c r="CX36" i="4"/>
  <c r="DO42" i="4"/>
  <c r="CX49" i="4"/>
  <c r="CX37" i="4"/>
  <c r="DO45" i="4"/>
  <c r="DO30" i="4"/>
  <c r="DQ40" i="4"/>
  <c r="CZ48" i="4"/>
  <c r="DQ36" i="4"/>
  <c r="CZ43" i="4"/>
  <c r="DQ46" i="4"/>
  <c r="DT45" i="4"/>
  <c r="DP51" i="4"/>
  <c r="DP37" i="4"/>
  <c r="DQ26" i="4"/>
  <c r="DI49" i="4"/>
  <c r="DI78" i="4"/>
  <c r="DN82" i="4"/>
  <c r="DA38" i="4"/>
  <c r="DN78" i="4"/>
  <c r="DA89" i="4"/>
  <c r="DN37" i="4"/>
  <c r="DA88" i="4"/>
  <c r="DN49" i="4"/>
  <c r="DA94" i="4"/>
  <c r="DA74" i="4"/>
  <c r="DA40" i="4"/>
  <c r="DA60" i="4"/>
  <c r="DN73" i="4"/>
  <c r="DA63" i="4"/>
  <c r="DA98" i="4"/>
  <c r="DN95" i="4"/>
  <c r="DA67" i="4"/>
  <c r="DA78" i="4"/>
  <c r="DA65" i="4"/>
  <c r="CY69" i="4"/>
  <c r="CY89" i="4"/>
  <c r="CY66" i="4"/>
  <c r="CY55" i="4"/>
  <c r="CY85" i="4"/>
  <c r="CY75" i="4"/>
  <c r="CX85" i="4"/>
  <c r="CX62" i="4"/>
  <c r="DO71" i="4"/>
  <c r="CX71" i="4"/>
  <c r="CX88" i="4"/>
  <c r="CX77" i="4"/>
  <c r="DO98" i="4"/>
  <c r="DO75" i="4"/>
  <c r="DO52" i="4"/>
  <c r="DO65" i="4"/>
  <c r="CX58" i="4"/>
  <c r="DO92" i="4"/>
  <c r="DQ76" i="4"/>
  <c r="DP78" i="4"/>
  <c r="DT54" i="4"/>
  <c r="DT53" i="4"/>
  <c r="DT56" i="4"/>
  <c r="DQ99" i="4"/>
  <c r="DQ82" i="4"/>
  <c r="DP63" i="4"/>
  <c r="CZ88" i="4"/>
  <c r="DT87" i="4"/>
  <c r="DT82" i="4"/>
  <c r="DP61" i="4"/>
  <c r="CZ56" i="4"/>
  <c r="DP73" i="4"/>
  <c r="DP76" i="4"/>
  <c r="CZ70" i="4"/>
  <c r="DP97" i="4"/>
  <c r="CZ77" i="4"/>
  <c r="DQ68" i="4"/>
  <c r="CZ99" i="4"/>
  <c r="CZ84" i="4"/>
  <c r="DQ97" i="4"/>
  <c r="DQ85" i="4"/>
  <c r="DP92" i="4"/>
  <c r="CY48" i="4"/>
  <c r="CY50" i="4"/>
  <c r="CY45" i="4"/>
  <c r="CX26" i="4"/>
  <c r="CX28" i="4"/>
  <c r="CX31" i="4"/>
  <c r="CX34" i="4"/>
  <c r="CX21" i="4"/>
  <c r="DO47" i="4"/>
  <c r="DO35" i="4"/>
  <c r="DQ51" i="4"/>
  <c r="DQ39" i="4"/>
  <c r="CZ24" i="4"/>
  <c r="CZ44" i="4"/>
  <c r="DT44" i="4"/>
  <c r="DP45" i="4"/>
  <c r="DP46" i="4"/>
  <c r="DT26" i="4"/>
  <c r="DI50" i="4"/>
  <c r="DI81" i="4"/>
  <c r="DN50" i="4"/>
  <c r="DN48" i="4"/>
  <c r="DN45" i="4"/>
  <c r="DA57" i="4"/>
  <c r="DA24" i="4"/>
  <c r="DA99" i="4"/>
  <c r="DN64" i="4"/>
  <c r="DN68" i="4"/>
  <c r="DN42" i="4"/>
  <c r="DA93" i="4"/>
  <c r="DN67" i="4"/>
  <c r="DN41" i="4"/>
  <c r="DN92" i="4"/>
  <c r="DN66" i="4"/>
  <c r="DN85" i="4"/>
  <c r="DA90" i="4"/>
  <c r="DA46" i="4"/>
  <c r="DA77" i="4"/>
  <c r="CY93" i="4"/>
  <c r="CY91" i="4"/>
  <c r="CY78" i="4"/>
  <c r="CY81" i="4"/>
  <c r="CY63" i="4"/>
  <c r="CY74" i="4"/>
  <c r="CX97" i="4"/>
  <c r="CX74" i="4"/>
  <c r="DO83" i="4"/>
  <c r="DO60" i="4"/>
  <c r="CX91" i="4"/>
  <c r="CX89" i="4"/>
  <c r="CX54" i="4"/>
  <c r="DO87" i="4"/>
  <c r="DO64" i="4"/>
  <c r="DO77" i="4"/>
  <c r="DO55" i="4"/>
  <c r="CX60" i="4"/>
  <c r="DT79" i="4"/>
  <c r="DT52" i="4"/>
  <c r="DP58" i="4"/>
  <c r="DP57" i="4"/>
  <c r="DT59" i="4"/>
  <c r="CZ62" i="4"/>
  <c r="DT85" i="4"/>
  <c r="DP84" i="4"/>
  <c r="DQ57" i="4"/>
  <c r="DP91" i="4"/>
  <c r="DP86" i="4"/>
  <c r="DT72" i="4"/>
  <c r="CZ68" i="4"/>
  <c r="DQ81" i="4"/>
  <c r="DP79" i="4"/>
  <c r="DP53" i="4"/>
  <c r="CZ59" i="4"/>
  <c r="CZ94" i="4"/>
  <c r="DP87" i="4"/>
  <c r="DT70" i="4"/>
  <c r="DT60" i="4"/>
  <c r="CZ67" i="4"/>
  <c r="DP99" i="4"/>
  <c r="CZ91" i="4"/>
  <c r="CY35" i="4"/>
  <c r="CY40" i="4"/>
  <c r="CZ28" i="4"/>
  <c r="DO50" i="4"/>
  <c r="CX50" i="4"/>
  <c r="CX27" i="4"/>
  <c r="CX25" i="4"/>
  <c r="DO49" i="4"/>
  <c r="CZ32" i="4"/>
  <c r="DO37" i="4"/>
  <c r="DO40" i="4"/>
  <c r="CZ41" i="4"/>
  <c r="DQ37" i="4"/>
  <c r="CZ38" i="4"/>
  <c r="DQ41" i="4"/>
  <c r="CZ34" i="4"/>
  <c r="DT38" i="4"/>
  <c r="DT49" i="4"/>
  <c r="DP41" i="4"/>
  <c r="DP39" i="4"/>
  <c r="DQ27" i="4"/>
  <c r="DI51" i="4"/>
  <c r="DI82" i="4"/>
  <c r="DN96" i="4"/>
  <c r="DN69" i="4"/>
  <c r="DA72" i="4"/>
  <c r="DA25" i="4"/>
  <c r="DN39" i="4"/>
  <c r="DA35" i="4"/>
  <c r="DA23" i="4"/>
  <c r="DN36" i="4"/>
  <c r="DA56" i="4"/>
  <c r="DN61" i="4"/>
  <c r="DN47" i="4"/>
  <c r="DA86" i="4"/>
  <c r="DN60" i="4"/>
  <c r="DA34" i="4"/>
  <c r="DN53" i="4"/>
  <c r="DA58" i="4"/>
  <c r="DN80" i="4"/>
  <c r="CY52" i="4"/>
  <c r="CY59" i="4"/>
  <c r="CY92" i="4"/>
  <c r="CY79" i="4"/>
  <c r="CY94" i="4"/>
  <c r="CY57" i="4"/>
  <c r="DO57" i="4"/>
  <c r="CX68" i="4"/>
  <c r="CX86" i="4"/>
  <c r="DO95" i="4"/>
  <c r="DO72" i="4"/>
  <c r="DO61" i="4"/>
  <c r="CX90" i="4"/>
  <c r="CX66" i="4"/>
  <c r="DO99" i="4"/>
  <c r="DO76" i="4"/>
  <c r="DO89" i="4"/>
  <c r="DO67" i="4"/>
  <c r="DQ52" i="4"/>
  <c r="DP54" i="4"/>
  <c r="DP56" i="4"/>
  <c r="DQ63" i="4"/>
  <c r="DQ62" i="4"/>
  <c r="DP74" i="4"/>
  <c r="CZ74" i="4"/>
  <c r="DP89" i="4"/>
  <c r="DQ89" i="4"/>
  <c r="DQ60" i="4"/>
  <c r="DQ96" i="4"/>
  <c r="DQ91" i="4"/>
  <c r="DT75" i="4"/>
  <c r="CZ80" i="4"/>
  <c r="DP83" i="4"/>
  <c r="DQ83" i="4"/>
  <c r="DT58" i="4"/>
  <c r="CZ71" i="4"/>
  <c r="CZ57" i="4"/>
  <c r="CZ79" i="4"/>
  <c r="DT81" i="4"/>
  <c r="DT89" i="4"/>
  <c r="CZ87" i="4"/>
  <c r="CZ53" i="4"/>
  <c r="DP77" i="4"/>
  <c r="CY47" i="4"/>
  <c r="CY39" i="4"/>
  <c r="CZ33" i="4"/>
  <c r="DO43" i="4"/>
  <c r="CX41" i="4"/>
  <c r="CX23" i="4"/>
  <c r="CX51" i="4"/>
  <c r="DO51" i="4"/>
  <c r="DO39" i="4"/>
  <c r="CZ40" i="4"/>
  <c r="CZ30" i="4"/>
  <c r="CZ45" i="4"/>
  <c r="CZ46" i="4"/>
  <c r="DT35" i="4"/>
  <c r="DP47" i="4"/>
  <c r="DP38" i="4"/>
  <c r="DT40" i="4"/>
  <c r="DP42" i="4"/>
  <c r="DQ42" i="4"/>
  <c r="CX24" i="4"/>
  <c r="CZ75" i="4"/>
  <c r="DQ88" i="4"/>
  <c r="CZ86" i="4"/>
  <c r="CX57" i="4"/>
  <c r="CX98" i="4"/>
  <c r="CY64" i="4"/>
  <c r="DA29" i="4"/>
  <c r="DA37" i="4"/>
  <c r="DI53" i="4"/>
  <c r="DT48" i="4"/>
  <c r="CZ51" i="4"/>
  <c r="CZ31" i="4"/>
  <c r="CZ66" i="4"/>
  <c r="CZ92" i="4"/>
  <c r="DQ77" i="4"/>
  <c r="DO88" i="4"/>
  <c r="CX84" i="4"/>
  <c r="DA71" i="4"/>
  <c r="DN43" i="4"/>
  <c r="DA59" i="4"/>
  <c r="DI23" i="4"/>
  <c r="CZ83" i="4"/>
  <c r="DT50" i="4"/>
  <c r="DP49" i="4"/>
  <c r="DO46" i="4"/>
  <c r="CY51" i="4"/>
  <c r="DT88" i="4"/>
  <c r="DP81" i="4"/>
  <c r="DT65" i="4"/>
  <c r="CX55" i="4"/>
  <c r="DO69" i="4"/>
  <c r="DA26" i="4"/>
  <c r="DA28" i="4"/>
  <c r="DP43" i="4"/>
  <c r="DQ66" i="4"/>
  <c r="DO73" i="4"/>
  <c r="DA76" i="4"/>
  <c r="DT46" i="4"/>
  <c r="DT39" i="4"/>
  <c r="CY36" i="4"/>
  <c r="CZ97" i="4"/>
  <c r="DT94" i="4"/>
  <c r="DT66" i="4"/>
  <c r="CX78" i="4"/>
  <c r="CY98" i="4"/>
  <c r="DA21" i="4"/>
  <c r="DA62" i="4"/>
  <c r="DN28" i="4"/>
  <c r="C9" i="19"/>
  <c r="DI91" i="4"/>
  <c r="DI77" i="4"/>
  <c r="DI62" i="4"/>
  <c r="DI46" i="4"/>
  <c r="DI29" i="4"/>
  <c r="DQ34" i="4"/>
  <c r="DT25" i="4"/>
  <c r="DN22" i="4"/>
  <c r="DI90" i="4"/>
  <c r="DI75" i="4"/>
  <c r="DI61" i="4"/>
  <c r="DI43" i="4"/>
  <c r="DO34" i="4"/>
  <c r="DT29" i="4"/>
  <c r="DQ25" i="4"/>
  <c r="DO21" i="4"/>
  <c r="CV13" i="4"/>
  <c r="DS23" i="4" s="1"/>
  <c r="DI89" i="4"/>
  <c r="DI74" i="4"/>
  <c r="DI58" i="4"/>
  <c r="DI41" i="4"/>
  <c r="DI28" i="4"/>
  <c r="DT33" i="4"/>
  <c r="DO29" i="4"/>
  <c r="DT24" i="4"/>
  <c r="DN21" i="4"/>
  <c r="DI86" i="4"/>
  <c r="DI70" i="4"/>
  <c r="DI57" i="4"/>
  <c r="DI38" i="4"/>
  <c r="DI24" i="4"/>
  <c r="DQ33" i="4"/>
  <c r="DN29" i="4"/>
  <c r="DT20" i="4"/>
  <c r="P42" i="8"/>
  <c r="AW61" i="4"/>
  <c r="AW69" i="4"/>
  <c r="BE85" i="4"/>
  <c r="AS52" i="4"/>
  <c r="BE45" i="4"/>
  <c r="AX61" i="4"/>
  <c r="AV37" i="4"/>
  <c r="AN61" i="4"/>
  <c r="AZ61" i="4"/>
  <c r="BD77" i="4"/>
  <c r="AV93" i="4"/>
  <c r="AL93" i="4"/>
  <c r="AQ37" i="4"/>
  <c r="BF77" i="4"/>
  <c r="BE37" i="4"/>
  <c r="BE69" i="4"/>
  <c r="AZ37" i="4"/>
  <c r="AZ45" i="4"/>
  <c r="AX53" i="4"/>
  <c r="AW37" i="4"/>
  <c r="AT61" i="4"/>
  <c r="AU61" i="4" s="1"/>
  <c r="AT53" i="4"/>
  <c r="AU53" i="4" s="1"/>
  <c r="AW93" i="4"/>
  <c r="AT37" i="4"/>
  <c r="AU37" i="4" s="1"/>
  <c r="BF85" i="4"/>
  <c r="AN93" i="4"/>
  <c r="AT77" i="4"/>
  <c r="AU77" i="4" s="1"/>
  <c r="AR61" i="4"/>
  <c r="AN45" i="4"/>
  <c r="BD37" i="4"/>
  <c r="AQ69" i="4"/>
  <c r="F171" i="4"/>
  <c r="BE93" i="4"/>
  <c r="AV77" i="4"/>
  <c r="AV69" i="4"/>
  <c r="AX45" i="4"/>
  <c r="AX69" i="4"/>
  <c r="AR37" i="4"/>
  <c r="BF69" i="4"/>
  <c r="BF61" i="4"/>
  <c r="AL77" i="4"/>
  <c r="AR53" i="4"/>
  <c r="AQ77" i="4"/>
  <c r="BE53" i="4"/>
  <c r="AZ85" i="4"/>
  <c r="AZ77" i="4"/>
  <c r="AM37" i="4"/>
  <c r="AW85" i="4"/>
  <c r="AX37" i="4"/>
  <c r="AX93" i="4"/>
  <c r="AX85" i="4"/>
  <c r="BF37" i="4"/>
  <c r="AL37" i="4"/>
  <c r="AR45" i="4"/>
  <c r="AT69" i="4"/>
  <c r="AU69" i="4" s="1"/>
  <c r="AN53" i="4"/>
  <c r="BD85" i="4"/>
  <c r="AM77" i="4"/>
  <c r="AV85" i="4"/>
  <c r="AM45" i="4"/>
  <c r="AR77" i="4"/>
  <c r="AR85" i="4"/>
  <c r="BF45" i="4"/>
  <c r="AT85" i="4"/>
  <c r="AU85" i="4" s="1"/>
  <c r="AN69" i="4"/>
  <c r="AL53" i="4"/>
  <c r="AQ53" i="4"/>
  <c r="AQ85" i="4"/>
  <c r="BE77" i="4"/>
  <c r="AZ53" i="4"/>
  <c r="AW53" i="4"/>
  <c r="AW45" i="4"/>
  <c r="AN85" i="4"/>
  <c r="AL69" i="4"/>
  <c r="AT45" i="4"/>
  <c r="AU45" i="4" s="1"/>
  <c r="BD61" i="4"/>
  <c r="BD45" i="4"/>
  <c r="AQ45" i="4"/>
  <c r="AM85" i="4"/>
  <c r="AZ69" i="4"/>
  <c r="AV53" i="4"/>
  <c r="AV45" i="4"/>
  <c r="AR69" i="4"/>
  <c r="BF93" i="4"/>
  <c r="BF53" i="4"/>
  <c r="BD93" i="4"/>
  <c r="AQ61" i="4"/>
  <c r="AQ93" i="4"/>
  <c r="BE61" i="4"/>
  <c r="AZ93" i="4"/>
  <c r="AM53" i="4"/>
  <c r="AV61" i="4"/>
  <c r="AT93" i="4"/>
  <c r="AU93" i="4" s="1"/>
  <c r="AR93" i="4"/>
  <c r="AL61" i="4"/>
  <c r="DI98" i="4"/>
  <c r="DI85" i="4"/>
  <c r="DI73" i="4"/>
  <c r="DI59" i="4"/>
  <c r="DI45" i="4"/>
  <c r="DN27" i="4"/>
  <c r="DT23" i="4"/>
  <c r="DN20" i="4"/>
  <c r="C12" i="5"/>
  <c r="DI54" i="4"/>
  <c r="DI42" i="4"/>
  <c r="DI31" i="4"/>
  <c r="DI20" i="4"/>
  <c r="DT28" i="4"/>
  <c r="DN25" i="4"/>
  <c r="DO22" i="4"/>
  <c r="F169" i="4"/>
  <c r="H153" i="4"/>
  <c r="S153" i="4" s="1"/>
  <c r="F170" i="4"/>
  <c r="AH11" i="4"/>
  <c r="DI92" i="4"/>
  <c r="DI84" i="4"/>
  <c r="DI76" i="4"/>
  <c r="DI68" i="4"/>
  <c r="DI60" i="4"/>
  <c r="DI52" i="4"/>
  <c r="DI44" i="4"/>
  <c r="DI36" i="4"/>
  <c r="DI30" i="4"/>
  <c r="DN34" i="4"/>
  <c r="DQ32" i="4"/>
  <c r="DQ29" i="4"/>
  <c r="DO27" i="4"/>
  <c r="DO25" i="4"/>
  <c r="DI96" i="4"/>
  <c r="DI88" i="4"/>
  <c r="DI80" i="4"/>
  <c r="DI72" i="4"/>
  <c r="DI64" i="4"/>
  <c r="DI56" i="4"/>
  <c r="DI48" i="4"/>
  <c r="DI40" i="4"/>
  <c r="DI32" i="4"/>
  <c r="DI26" i="4"/>
  <c r="DN33" i="4"/>
  <c r="DQ31" i="4"/>
  <c r="DQ28" i="4"/>
  <c r="DO26" i="4"/>
  <c r="DQ24" i="4"/>
  <c r="DI95" i="4"/>
  <c r="DI87" i="4"/>
  <c r="DI79" i="4"/>
  <c r="DI71" i="4"/>
  <c r="DI63" i="4"/>
  <c r="DI55" i="4"/>
  <c r="DI47" i="4"/>
  <c r="DI39" i="4"/>
  <c r="DI25" i="4"/>
  <c r="DT34" i="4"/>
  <c r="DT32" i="4"/>
  <c r="DO31" i="4"/>
  <c r="DO28" i="4"/>
  <c r="DN26" i="4"/>
  <c r="DO24" i="4"/>
  <c r="DH31" i="4"/>
  <c r="DG24" i="4"/>
  <c r="BE39" i="4"/>
  <c r="BE63" i="4"/>
  <c r="AZ39" i="4"/>
  <c r="AZ87" i="4"/>
  <c r="AZ47" i="4"/>
  <c r="AM39" i="4"/>
  <c r="AW63" i="4"/>
  <c r="AX47" i="4"/>
  <c r="AR87" i="4"/>
  <c r="AR55" i="4"/>
  <c r="AR47" i="4"/>
  <c r="BF79" i="4"/>
  <c r="BF55" i="4"/>
  <c r="AL63" i="4"/>
  <c r="AN87" i="4"/>
  <c r="AM79" i="4"/>
  <c r="AM47" i="4"/>
  <c r="AW95" i="4"/>
  <c r="AV63" i="4"/>
  <c r="AR39" i="4"/>
  <c r="AR95" i="4"/>
  <c r="AT47" i="4"/>
  <c r="AU47" i="4" s="1"/>
  <c r="AN39" i="4"/>
  <c r="AR63" i="4"/>
  <c r="AL87" i="4"/>
  <c r="BD71" i="4"/>
  <c r="AQ87" i="4"/>
  <c r="AQ55" i="4"/>
  <c r="BE79" i="4"/>
  <c r="AX63" i="4"/>
  <c r="AW71" i="4"/>
  <c r="AV95" i="4"/>
  <c r="AT39" i="4"/>
  <c r="AU39" i="4" s="1"/>
  <c r="AR71" i="4"/>
  <c r="BF71" i="4"/>
  <c r="AL39" i="4"/>
  <c r="AN63" i="4"/>
  <c r="BD95" i="4"/>
  <c r="BD47" i="4"/>
  <c r="AQ63" i="4"/>
  <c r="AM87" i="4"/>
  <c r="AM55" i="4"/>
  <c r="BE95" i="4"/>
  <c r="AZ95" i="4"/>
  <c r="AZ55" i="4"/>
  <c r="AZ79" i="4"/>
  <c r="AX95" i="4"/>
  <c r="AV71" i="4"/>
  <c r="AW79" i="4"/>
  <c r="AT63" i="4"/>
  <c r="AU63" i="4" s="1"/>
  <c r="BF95" i="4"/>
  <c r="AN47" i="4"/>
  <c r="AT55" i="4"/>
  <c r="AU55" i="4" s="1"/>
  <c r="AT79" i="4"/>
  <c r="AU79" i="4" s="1"/>
  <c r="BD39" i="4"/>
  <c r="AM63" i="4"/>
  <c r="AQ47" i="4"/>
  <c r="BE87" i="4"/>
  <c r="AZ63" i="4"/>
  <c r="AX87" i="4"/>
  <c r="AW55" i="4"/>
  <c r="AX71" i="4"/>
  <c r="AV79" i="4"/>
  <c r="BF47" i="4"/>
  <c r="AL47" i="4"/>
  <c r="AN55" i="4"/>
  <c r="AN79" i="4"/>
  <c r="BD79" i="4"/>
  <c r="AQ71" i="4"/>
  <c r="AQ95" i="4"/>
  <c r="AQ39" i="4"/>
  <c r="BE71" i="4"/>
  <c r="AX39" i="4"/>
  <c r="AW39" i="4"/>
  <c r="AV55" i="4"/>
  <c r="AT87" i="4"/>
  <c r="AU87" i="4" s="1"/>
  <c r="BF63" i="4"/>
  <c r="AL55" i="4"/>
  <c r="AT95" i="4"/>
  <c r="AU95" i="4" s="1"/>
  <c r="AM71" i="4"/>
  <c r="AM95" i="4"/>
  <c r="BE47" i="4"/>
  <c r="AZ71" i="4"/>
  <c r="AW87" i="4"/>
  <c r="AT71" i="4"/>
  <c r="AU71" i="4" s="1"/>
  <c r="BE46" i="4"/>
  <c r="BE70" i="4"/>
  <c r="BE78" i="4"/>
  <c r="AZ46" i="4"/>
  <c r="AX38" i="4"/>
  <c r="AV86" i="4"/>
  <c r="AR46" i="4"/>
  <c r="AS46" i="4" s="1"/>
  <c r="AR38" i="4"/>
  <c r="BF38" i="4"/>
  <c r="BF78" i="4"/>
  <c r="BF54" i="4"/>
  <c r="AR78" i="4"/>
  <c r="AN70" i="4"/>
  <c r="BD46" i="4"/>
  <c r="AM70" i="4"/>
  <c r="AM54" i="4"/>
  <c r="BE38" i="4"/>
  <c r="BE86" i="4"/>
  <c r="AZ70" i="4"/>
  <c r="AZ78" i="4"/>
  <c r="AX54" i="4"/>
  <c r="AX70" i="4"/>
  <c r="AW62" i="4"/>
  <c r="AV78" i="4"/>
  <c r="AT38" i="4"/>
  <c r="AU38" i="4" s="1"/>
  <c r="AT78" i="4"/>
  <c r="AU78" i="4" s="1"/>
  <c r="AT54" i="4"/>
  <c r="AU54" i="4" s="1"/>
  <c r="AN86" i="4"/>
  <c r="BD70" i="4"/>
  <c r="BD86" i="4"/>
  <c r="AQ78" i="4"/>
  <c r="AQ46" i="4"/>
  <c r="BE54" i="4"/>
  <c r="AM46" i="4"/>
  <c r="AZ86" i="4"/>
  <c r="AW54" i="4"/>
  <c r="AV62" i="4"/>
  <c r="BF70" i="4"/>
  <c r="AN46" i="4"/>
  <c r="AN54" i="4"/>
  <c r="AL62" i="4"/>
  <c r="BD94" i="4"/>
  <c r="AM78" i="4"/>
  <c r="AQ38" i="4"/>
  <c r="AX46" i="4"/>
  <c r="AV54" i="4"/>
  <c r="AV94" i="4"/>
  <c r="AW78" i="4"/>
  <c r="AR62" i="4"/>
  <c r="AL46" i="4"/>
  <c r="AL54" i="4"/>
  <c r="AT62" i="4"/>
  <c r="AU62" i="4" s="1"/>
  <c r="AQ86" i="4"/>
  <c r="AZ54" i="4"/>
  <c r="AZ62" i="4"/>
  <c r="AW94" i="4"/>
  <c r="AX78" i="4"/>
  <c r="AL86" i="4"/>
  <c r="AT94" i="4"/>
  <c r="AU94" i="4" s="1"/>
  <c r="AN62" i="4"/>
  <c r="BD54" i="4"/>
  <c r="AQ62" i="4"/>
  <c r="AM86" i="4"/>
  <c r="AW46" i="4"/>
  <c r="AT70" i="4"/>
  <c r="AU70" i="4" s="1"/>
  <c r="BF62" i="4"/>
  <c r="BF94" i="4"/>
  <c r="AX86" i="4"/>
  <c r="AN38" i="4"/>
  <c r="AN94" i="4"/>
  <c r="AR86" i="4"/>
  <c r="AT86" i="4"/>
  <c r="AU86" i="4" s="1"/>
  <c r="BD62" i="4"/>
  <c r="BD38" i="4"/>
  <c r="AQ94" i="4"/>
  <c r="BE94" i="4"/>
  <c r="AZ38" i="4"/>
  <c r="AM38" i="4"/>
  <c r="AW70" i="4"/>
  <c r="AW38" i="4"/>
  <c r="AX94" i="4"/>
  <c r="AL94" i="4"/>
  <c r="DP26" i="4"/>
  <c r="DH28" i="4"/>
  <c r="DG63" i="4"/>
  <c r="DG95" i="4"/>
  <c r="CY28" i="4"/>
  <c r="DR86" i="4"/>
  <c r="CW35" i="4"/>
  <c r="DS82" i="4"/>
  <c r="DT21" i="4"/>
  <c r="DP25" i="4"/>
  <c r="DP34" i="4"/>
  <c r="DG58" i="4"/>
  <c r="DG90" i="4"/>
  <c r="CY23" i="4"/>
  <c r="CY26" i="4"/>
  <c r="CY31" i="4"/>
  <c r="CW51" i="4"/>
  <c r="DS83" i="4"/>
  <c r="CW75" i="4"/>
  <c r="DP24" i="4"/>
  <c r="DP33" i="4"/>
  <c r="DG21" i="4"/>
  <c r="DH58" i="4"/>
  <c r="DH90" i="4"/>
  <c r="CY21" i="4"/>
  <c r="CY29" i="4"/>
  <c r="DR40" i="4"/>
  <c r="DS94" i="4"/>
  <c r="CY20" i="4"/>
  <c r="CW38" i="4"/>
  <c r="DS80" i="4"/>
  <c r="DP27" i="4"/>
  <c r="DG52" i="4"/>
  <c r="DP23" i="4"/>
  <c r="DT27" i="4"/>
  <c r="DP32" i="4"/>
  <c r="DG40" i="4"/>
  <c r="DG72" i="4"/>
  <c r="DR41" i="4"/>
  <c r="CY33" i="4"/>
  <c r="DR77" i="4"/>
  <c r="CW91" i="4"/>
  <c r="DS77" i="4"/>
  <c r="DP22" i="4"/>
  <c r="DP31" i="4"/>
  <c r="DI21" i="4"/>
  <c r="DG43" i="4"/>
  <c r="DG75" i="4"/>
  <c r="CY22" i="4"/>
  <c r="DR39" i="4"/>
  <c r="CW68" i="4"/>
  <c r="DS89" i="4"/>
  <c r="CY24" i="4"/>
  <c r="DP21" i="4"/>
  <c r="DP29" i="4"/>
  <c r="DH51" i="4"/>
  <c r="DH83" i="4"/>
  <c r="CY34" i="4"/>
  <c r="CY25" i="4"/>
  <c r="CY27" i="4"/>
  <c r="DR92" i="4"/>
  <c r="CW40" i="4"/>
  <c r="DS40" i="4"/>
  <c r="DP20" i="4"/>
  <c r="DR22" i="4"/>
  <c r="DP28" i="4"/>
  <c r="DI27" i="4"/>
  <c r="DH46" i="4"/>
  <c r="DH78" i="4"/>
  <c r="CY32" i="4"/>
  <c r="CW26" i="4"/>
  <c r="DR58" i="4"/>
  <c r="CW47" i="4"/>
  <c r="DS55" i="4"/>
  <c r="DH89" i="4"/>
  <c r="AZ51" i="4"/>
  <c r="AV51" i="4"/>
  <c r="AV35" i="4"/>
  <c r="AV67" i="4"/>
  <c r="AV59" i="4"/>
  <c r="AR51" i="4"/>
  <c r="AT67" i="4"/>
  <c r="AU67" i="4" s="1"/>
  <c r="AT35" i="4"/>
  <c r="AU35" i="4" s="1"/>
  <c r="AL91" i="4"/>
  <c r="AR67" i="4"/>
  <c r="BD43" i="4"/>
  <c r="AM59" i="4"/>
  <c r="AM75" i="4"/>
  <c r="AM91" i="4"/>
  <c r="AQ51" i="4"/>
  <c r="AI73" i="4"/>
  <c r="AD73" i="4" s="1"/>
  <c r="BF43" i="4"/>
  <c r="BE83" i="4"/>
  <c r="AZ91" i="4"/>
  <c r="AM51" i="4"/>
  <c r="AT99" i="4"/>
  <c r="AU99" i="4" s="1"/>
  <c r="AT83" i="4"/>
  <c r="AU83" i="4" s="1"/>
  <c r="BF75" i="4"/>
  <c r="AL51" i="4"/>
  <c r="AR91" i="4"/>
  <c r="AN67" i="4"/>
  <c r="BD75" i="4"/>
  <c r="AQ43" i="4"/>
  <c r="BE35" i="4"/>
  <c r="AZ99" i="4"/>
  <c r="AV83" i="4"/>
  <c r="AX99" i="4"/>
  <c r="AR99" i="4"/>
  <c r="AT51" i="4"/>
  <c r="AU51" i="4" s="1"/>
  <c r="AN99" i="4"/>
  <c r="AN51" i="4"/>
  <c r="AL59" i="4"/>
  <c r="AN91" i="4"/>
  <c r="AL67" i="4"/>
  <c r="BD51" i="4"/>
  <c r="BD99" i="4"/>
  <c r="AQ35" i="4"/>
  <c r="AX91" i="4"/>
  <c r="BE43" i="4"/>
  <c r="AZ75" i="4"/>
  <c r="AX35" i="4"/>
  <c r="AW43" i="4"/>
  <c r="AW91" i="4"/>
  <c r="AR75" i="4"/>
  <c r="BF91" i="4"/>
  <c r="BF51" i="4"/>
  <c r="AL99" i="4"/>
  <c r="AT59" i="4"/>
  <c r="AU59" i="4" s="1"/>
  <c r="AL35" i="4"/>
  <c r="AT75" i="4"/>
  <c r="AU75" i="4" s="1"/>
  <c r="BD91" i="4"/>
  <c r="BD35" i="4"/>
  <c r="AQ67" i="4"/>
  <c r="AQ83" i="4"/>
  <c r="AK99" i="4"/>
  <c r="BE59" i="4"/>
  <c r="AZ59" i="4"/>
  <c r="AM35" i="4"/>
  <c r="AW99" i="4"/>
  <c r="AV43" i="4"/>
  <c r="AV91" i="4"/>
  <c r="AR35" i="4"/>
  <c r="AT91" i="4"/>
  <c r="AU91" i="4" s="1"/>
  <c r="BF67" i="4"/>
  <c r="BF35" i="4"/>
  <c r="AN59" i="4"/>
  <c r="AN35" i="4"/>
  <c r="AN75" i="4"/>
  <c r="BD67" i="4"/>
  <c r="AM67" i="4"/>
  <c r="AM83" i="4"/>
  <c r="AL43" i="4"/>
  <c r="AL83" i="4"/>
  <c r="AL75" i="4"/>
  <c r="CR141" i="4"/>
  <c r="CR149" i="4" s="1"/>
  <c r="AW83" i="4"/>
  <c r="AX51" i="4"/>
  <c r="BE75" i="4"/>
  <c r="BE67" i="4"/>
  <c r="AM43" i="4"/>
  <c r="AV99" i="4"/>
  <c r="AW75" i="4"/>
  <c r="AX83" i="4"/>
  <c r="AX43" i="4"/>
  <c r="AX75" i="4"/>
  <c r="AT43" i="4"/>
  <c r="AU43" i="4" s="1"/>
  <c r="BE99" i="4"/>
  <c r="AZ83" i="4"/>
  <c r="AX59" i="4"/>
  <c r="BF83" i="4"/>
  <c r="AR83" i="4"/>
  <c r="AQ99" i="4"/>
  <c r="CQ145" i="4"/>
  <c r="AW42" i="4"/>
  <c r="AV58" i="4"/>
  <c r="BD74" i="4"/>
  <c r="AW97" i="4"/>
  <c r="AQ42" i="4"/>
  <c r="BE89" i="4"/>
  <c r="AZ81" i="4"/>
  <c r="AX82" i="4"/>
  <c r="AV74" i="4"/>
  <c r="BF98" i="4"/>
  <c r="AN49" i="4"/>
  <c r="BD66" i="4"/>
  <c r="BD50" i="4"/>
  <c r="AR90" i="4"/>
  <c r="AN89" i="4"/>
  <c r="BD30" i="4"/>
  <c r="AZ73" i="4"/>
  <c r="AZ89" i="4"/>
  <c r="AW73" i="4"/>
  <c r="AX74" i="4"/>
  <c r="AT90" i="4"/>
  <c r="AU90" i="4" s="1"/>
  <c r="AL66" i="4"/>
  <c r="AL42" i="4"/>
  <c r="AQ49" i="4"/>
  <c r="AZ58" i="4"/>
  <c r="AR97" i="4"/>
  <c r="AS97" i="4" s="1"/>
  <c r="AQ98" i="4"/>
  <c r="BE41" i="4"/>
  <c r="BE82" i="4"/>
  <c r="AX66" i="4"/>
  <c r="AV97" i="4"/>
  <c r="AV89" i="4"/>
  <c r="AN42" i="4"/>
  <c r="AT66" i="4"/>
  <c r="AU66" i="4" s="1"/>
  <c r="AR48" i="4"/>
  <c r="AN57" i="4"/>
  <c r="AV50" i="4"/>
  <c r="AW82" i="4"/>
  <c r="AN58" i="4"/>
  <c r="AL49" i="4"/>
  <c r="AN90" i="4"/>
  <c r="AQ73" i="4"/>
  <c r="BE49" i="4"/>
  <c r="BE65" i="4"/>
  <c r="AZ50" i="4"/>
  <c r="AX97" i="4"/>
  <c r="AX49" i="4"/>
  <c r="AM48" i="4"/>
  <c r="AX90" i="4"/>
  <c r="BF90" i="4"/>
  <c r="BF57" i="4"/>
  <c r="BD90" i="4"/>
  <c r="AQ82" i="4"/>
  <c r="BE97" i="4"/>
  <c r="BE58" i="4"/>
  <c r="AZ66" i="4"/>
  <c r="AZ65" i="4"/>
  <c r="AV82" i="4"/>
  <c r="AN80" i="4"/>
  <c r="AZ80" i="4"/>
  <c r="BE80" i="4"/>
  <c r="BD80" i="4"/>
  <c r="AT80" i="4"/>
  <c r="AU80" i="4" s="1"/>
  <c r="AM80" i="4"/>
  <c r="AQ80" i="4"/>
  <c r="AW56" i="4"/>
  <c r="BE56" i="4"/>
  <c r="AZ56" i="4"/>
  <c r="AN56" i="4"/>
  <c r="AT56" i="4"/>
  <c r="AU56" i="4" s="1"/>
  <c r="BF56" i="4"/>
  <c r="AW72" i="4"/>
  <c r="AW80" i="4"/>
  <c r="AM72" i="4"/>
  <c r="AQ56" i="4"/>
  <c r="AI89" i="4"/>
  <c r="AD89" i="4" s="1"/>
  <c r="AQ88" i="4"/>
  <c r="AN88" i="4"/>
  <c r="AL88" i="4"/>
  <c r="BD88" i="4"/>
  <c r="AT88" i="4"/>
  <c r="AU88" i="4" s="1"/>
  <c r="AX88" i="4"/>
  <c r="AV88" i="4"/>
  <c r="BF88" i="4"/>
  <c r="AW88" i="4"/>
  <c r="BE48" i="4"/>
  <c r="AX96" i="4"/>
  <c r="AV80" i="4"/>
  <c r="AX56" i="4"/>
  <c r="BF80" i="4"/>
  <c r="AM56" i="4"/>
  <c r="AI81" i="4"/>
  <c r="AD81" i="4" s="1"/>
  <c r="AN40" i="4"/>
  <c r="BF40" i="4"/>
  <c r="AT40" i="4"/>
  <c r="AU40" i="4" s="1"/>
  <c r="AX40" i="4"/>
  <c r="AL40" i="4"/>
  <c r="AZ40" i="4"/>
  <c r="AV40" i="4"/>
  <c r="BE40" i="4"/>
  <c r="BD40" i="4"/>
  <c r="AW40" i="4"/>
  <c r="AQ40" i="4"/>
  <c r="AZ88" i="4"/>
  <c r="AR56" i="4"/>
  <c r="AV64" i="4"/>
  <c r="BD64" i="4"/>
  <c r="AW64" i="4"/>
  <c r="AZ64" i="4"/>
  <c r="BE64" i="4"/>
  <c r="AM64" i="4"/>
  <c r="AT64" i="4"/>
  <c r="AU64" i="4" s="1"/>
  <c r="AL64" i="4"/>
  <c r="AQ64" i="4"/>
  <c r="AL56" i="4"/>
  <c r="AN96" i="4"/>
  <c r="AI32" i="4"/>
  <c r="AK32" i="4" s="1"/>
  <c r="AZ96" i="4"/>
  <c r="AR40" i="4"/>
  <c r="BF64" i="4"/>
  <c r="AR80" i="4"/>
  <c r="BF96" i="4"/>
  <c r="AV96" i="4"/>
  <c r="AW96" i="4"/>
  <c r="AR96" i="4"/>
  <c r="AM96" i="4"/>
  <c r="AT96" i="4"/>
  <c r="AU96" i="4" s="1"/>
  <c r="BE96" i="4"/>
  <c r="AQ96" i="4"/>
  <c r="AX80" i="4"/>
  <c r="AL80" i="4"/>
  <c r="AL96" i="4"/>
  <c r="AN64" i="4"/>
  <c r="BD56" i="4"/>
  <c r="AN98" i="4"/>
  <c r="AV98" i="4"/>
  <c r="AR98" i="4"/>
  <c r="AW98" i="4"/>
  <c r="AZ98" i="4"/>
  <c r="AT98" i="4"/>
  <c r="AU98" i="4" s="1"/>
  <c r="AL98" i="4"/>
  <c r="BE98" i="4"/>
  <c r="AM98" i="4"/>
  <c r="AM90" i="4"/>
  <c r="AW90" i="4"/>
  <c r="AQ90" i="4"/>
  <c r="BE90" i="4"/>
  <c r="BF82" i="4"/>
  <c r="AR82" i="4"/>
  <c r="AZ82" i="4"/>
  <c r="AM82" i="4"/>
  <c r="AT82" i="4"/>
  <c r="AU82" i="4" s="1"/>
  <c r="AN82" i="4"/>
  <c r="AM74" i="4"/>
  <c r="AQ74" i="4"/>
  <c r="AN74" i="4"/>
  <c r="AL74" i="4"/>
  <c r="AW74" i="4"/>
  <c r="AZ74" i="4"/>
  <c r="BE74" i="4"/>
  <c r="BF74" i="4"/>
  <c r="AR74" i="4"/>
  <c r="AT74" i="4"/>
  <c r="AU74" i="4" s="1"/>
  <c r="BF66" i="4"/>
  <c r="AM66" i="4"/>
  <c r="BE66" i="4"/>
  <c r="AR66" i="4"/>
  <c r="BD58" i="4"/>
  <c r="AT58" i="4"/>
  <c r="AU58" i="4" s="1"/>
  <c r="AM58" i="4"/>
  <c r="AL58" i="4"/>
  <c r="AQ58" i="4"/>
  <c r="BF58" i="4"/>
  <c r="AX58" i="4"/>
  <c r="AQ50" i="4"/>
  <c r="BE50" i="4"/>
  <c r="AN50" i="4"/>
  <c r="AX50" i="4"/>
  <c r="AM50" i="4"/>
  <c r="AR50" i="4"/>
  <c r="AS50" i="4" s="1"/>
  <c r="AL50" i="4"/>
  <c r="BF50" i="4"/>
  <c r="BD42" i="4"/>
  <c r="AR42" i="4"/>
  <c r="AS42" i="4" s="1"/>
  <c r="AZ42" i="4"/>
  <c r="AX42" i="4"/>
  <c r="AM42" i="4"/>
  <c r="BE42" i="4"/>
  <c r="BF42" i="4"/>
  <c r="AV42" i="4"/>
  <c r="AQ72" i="4"/>
  <c r="AN72" i="4"/>
  <c r="AT72" i="4"/>
  <c r="AU72" i="4" s="1"/>
  <c r="BE72" i="4"/>
  <c r="BD72" i="4"/>
  <c r="AR72" i="4"/>
  <c r="AL72" i="4"/>
  <c r="BF72" i="4"/>
  <c r="AV72" i="4"/>
  <c r="AZ72" i="4"/>
  <c r="AL48" i="4"/>
  <c r="AX48" i="4"/>
  <c r="AT48" i="4"/>
  <c r="AU48" i="4" s="1"/>
  <c r="AW48" i="4"/>
  <c r="AZ48" i="4"/>
  <c r="BD48" i="4"/>
  <c r="AN48" i="4"/>
  <c r="AV48" i="4"/>
  <c r="BE88" i="4"/>
  <c r="AR64" i="4"/>
  <c r="AM40" i="4"/>
  <c r="AX64" i="4"/>
  <c r="AV56" i="4"/>
  <c r="BF48" i="4"/>
  <c r="AR88" i="4"/>
  <c r="AM88" i="4"/>
  <c r="AI97" i="4"/>
  <c r="AD97" i="4" s="1"/>
  <c r="AM97" i="4"/>
  <c r="AL97" i="4"/>
  <c r="AQ97" i="4"/>
  <c r="BD97" i="4"/>
  <c r="BF97" i="4"/>
  <c r="AZ97" i="4"/>
  <c r="AN97" i="4"/>
  <c r="BD89" i="4"/>
  <c r="AW89" i="4"/>
  <c r="BF89" i="4"/>
  <c r="AX89" i="4"/>
  <c r="AM89" i="4"/>
  <c r="AR89" i="4"/>
  <c r="AS89" i="4" s="1"/>
  <c r="AM81" i="4"/>
  <c r="BD81" i="4"/>
  <c r="AL81" i="4"/>
  <c r="BF81" i="4"/>
  <c r="AT81" i="4"/>
  <c r="AU81" i="4" s="1"/>
  <c r="AQ81" i="4"/>
  <c r="AX81" i="4"/>
  <c r="AV81" i="4"/>
  <c r="AW81" i="4"/>
  <c r="BD73" i="4"/>
  <c r="BE73" i="4"/>
  <c r="AL73" i="4"/>
  <c r="BF73" i="4"/>
  <c r="AN73" i="4"/>
  <c r="AR73" i="4"/>
  <c r="AX73" i="4"/>
  <c r="AT73" i="4"/>
  <c r="AU73" i="4" s="1"/>
  <c r="AM73" i="4"/>
  <c r="AM65" i="4"/>
  <c r="BD65" i="4"/>
  <c r="BF65" i="4"/>
  <c r="AX65" i="4"/>
  <c r="AQ65" i="4"/>
  <c r="AR65" i="4"/>
  <c r="AV65" i="4"/>
  <c r="AN65" i="4"/>
  <c r="AW65" i="4"/>
  <c r="AT65" i="4"/>
  <c r="AU65" i="4" s="1"/>
  <c r="AI65" i="4"/>
  <c r="AD65" i="4" s="1"/>
  <c r="AZ57" i="4"/>
  <c r="BE57" i="4"/>
  <c r="AM57" i="4"/>
  <c r="AL57" i="4"/>
  <c r="AR57" i="4"/>
  <c r="AS57" i="4" s="1"/>
  <c r="AQ57" i="4"/>
  <c r="BD57" i="4"/>
  <c r="AV57" i="4"/>
  <c r="AI57" i="4"/>
  <c r="AD57" i="4" s="1"/>
  <c r="AW57" i="4"/>
  <c r="AV49" i="4"/>
  <c r="AT49" i="4"/>
  <c r="AU49" i="4" s="1"/>
  <c r="AW49" i="4"/>
  <c r="AI49" i="4"/>
  <c r="AD49" i="4" s="1"/>
  <c r="BD49" i="4"/>
  <c r="BF49" i="4"/>
  <c r="AM49" i="4"/>
  <c r="AZ49" i="4"/>
  <c r="AQ41" i="4"/>
  <c r="AN41" i="4"/>
  <c r="BF41" i="4"/>
  <c r="AM41" i="4"/>
  <c r="AZ41" i="4"/>
  <c r="AI41" i="4"/>
  <c r="AD41" i="4" s="1"/>
  <c r="AT41" i="4"/>
  <c r="AU41" i="4" s="1"/>
  <c r="BD41" i="4"/>
  <c r="AR41" i="4"/>
  <c r="AX41" i="4"/>
  <c r="CQ148" i="4"/>
  <c r="CQ149" i="4"/>
  <c r="AI31" i="4"/>
  <c r="AN31" i="4" s="1"/>
  <c r="AR31" i="4" s="1"/>
  <c r="AU92" i="4"/>
  <c r="AU89" i="4"/>
  <c r="AI98" i="4"/>
  <c r="AD98" i="4" s="1"/>
  <c r="AK93" i="4"/>
  <c r="AK97" i="4"/>
  <c r="AI91" i="4"/>
  <c r="AD91" i="4" s="1"/>
  <c r="AI92" i="4"/>
  <c r="AD92" i="4" s="1"/>
  <c r="AK94" i="4"/>
  <c r="AK98" i="4"/>
  <c r="AI93" i="4"/>
  <c r="AD93" i="4" s="1"/>
  <c r="AI94" i="4"/>
  <c r="AD94" i="4" s="1"/>
  <c r="AK91" i="4"/>
  <c r="AK95" i="4"/>
  <c r="AI95" i="4"/>
  <c r="AD95" i="4" s="1"/>
  <c r="AI96" i="4"/>
  <c r="AD96" i="4" s="1"/>
  <c r="AK92" i="4"/>
  <c r="AK96" i="4"/>
  <c r="AI90" i="4"/>
  <c r="AD90" i="4" s="1"/>
  <c r="AK85" i="4"/>
  <c r="AK89" i="4"/>
  <c r="AI83" i="4"/>
  <c r="AD83" i="4" s="1"/>
  <c r="AI84" i="4"/>
  <c r="AD84" i="4" s="1"/>
  <c r="AK86" i="4"/>
  <c r="AK90" i="4"/>
  <c r="AI85" i="4"/>
  <c r="AD85" i="4" s="1"/>
  <c r="AI86" i="4"/>
  <c r="AD86" i="4" s="1"/>
  <c r="AK83" i="4"/>
  <c r="AK87" i="4"/>
  <c r="AI87" i="4"/>
  <c r="AD87" i="4" s="1"/>
  <c r="AI88" i="4"/>
  <c r="AD88" i="4" s="1"/>
  <c r="AK84" i="4"/>
  <c r="AK88" i="4"/>
  <c r="AI82" i="4"/>
  <c r="AD82" i="4" s="1"/>
  <c r="AK77" i="4"/>
  <c r="AK81" i="4"/>
  <c r="AI75" i="4"/>
  <c r="AD75" i="4" s="1"/>
  <c r="AI76" i="4"/>
  <c r="AD76" i="4" s="1"/>
  <c r="AK78" i="4"/>
  <c r="AK82" i="4"/>
  <c r="AI77" i="4"/>
  <c r="AD77" i="4" s="1"/>
  <c r="AI78" i="4"/>
  <c r="AD78" i="4" s="1"/>
  <c r="AK75" i="4"/>
  <c r="AK79" i="4"/>
  <c r="AI79" i="4"/>
  <c r="AD79" i="4" s="1"/>
  <c r="AI80" i="4"/>
  <c r="AD80" i="4" s="1"/>
  <c r="AK76" i="4"/>
  <c r="AK80" i="4"/>
  <c r="AI74" i="4"/>
  <c r="AD74" i="4" s="1"/>
  <c r="AK69" i="4"/>
  <c r="AK73" i="4"/>
  <c r="AI67" i="4"/>
  <c r="AD67" i="4" s="1"/>
  <c r="AI68" i="4"/>
  <c r="AD68" i="4" s="1"/>
  <c r="AK70" i="4"/>
  <c r="AK74" i="4"/>
  <c r="AI69" i="4"/>
  <c r="AD69" i="4" s="1"/>
  <c r="AI70" i="4"/>
  <c r="AD70" i="4" s="1"/>
  <c r="AK67" i="4"/>
  <c r="AK71" i="4"/>
  <c r="AI71" i="4"/>
  <c r="AD71" i="4" s="1"/>
  <c r="AI72" i="4"/>
  <c r="AD72" i="4" s="1"/>
  <c r="AK68" i="4"/>
  <c r="AK72" i="4"/>
  <c r="AI66" i="4"/>
  <c r="AD66" i="4" s="1"/>
  <c r="AK61" i="4"/>
  <c r="AK65" i="4"/>
  <c r="AI59" i="4"/>
  <c r="AD59" i="4" s="1"/>
  <c r="AI60" i="4"/>
  <c r="AD60" i="4" s="1"/>
  <c r="AK62" i="4"/>
  <c r="AK66" i="4"/>
  <c r="AI61" i="4"/>
  <c r="AD61" i="4" s="1"/>
  <c r="AI62" i="4"/>
  <c r="AD62" i="4" s="1"/>
  <c r="AK59" i="4"/>
  <c r="AK63" i="4"/>
  <c r="AI63" i="4"/>
  <c r="AD63" i="4" s="1"/>
  <c r="AI64" i="4"/>
  <c r="AD64" i="4" s="1"/>
  <c r="AK60" i="4"/>
  <c r="AK64" i="4"/>
  <c r="AI58" i="4"/>
  <c r="AD58" i="4" s="1"/>
  <c r="AK53" i="4"/>
  <c r="AK57" i="4"/>
  <c r="AI51" i="4"/>
  <c r="AD51" i="4" s="1"/>
  <c r="AI52" i="4"/>
  <c r="AD52" i="4" s="1"/>
  <c r="AK54" i="4"/>
  <c r="AK58" i="4"/>
  <c r="AI53" i="4"/>
  <c r="AD53" i="4" s="1"/>
  <c r="AI54" i="4"/>
  <c r="AD54" i="4" s="1"/>
  <c r="AK51" i="4"/>
  <c r="AK55" i="4"/>
  <c r="AI55" i="4"/>
  <c r="AD55" i="4" s="1"/>
  <c r="AI56" i="4"/>
  <c r="AD56" i="4" s="1"/>
  <c r="AK52" i="4"/>
  <c r="AK56" i="4"/>
  <c r="AI50" i="4"/>
  <c r="AD50" i="4" s="1"/>
  <c r="AK45" i="4"/>
  <c r="AK49" i="4"/>
  <c r="AI43" i="4"/>
  <c r="AD43" i="4" s="1"/>
  <c r="AI44" i="4"/>
  <c r="AD44" i="4" s="1"/>
  <c r="AK46" i="4"/>
  <c r="AK50" i="4"/>
  <c r="AI45" i="4"/>
  <c r="AD45" i="4" s="1"/>
  <c r="AI46" i="4"/>
  <c r="AD46" i="4" s="1"/>
  <c r="AK43" i="4"/>
  <c r="AK47" i="4"/>
  <c r="AI47" i="4"/>
  <c r="AD47" i="4" s="1"/>
  <c r="AI48" i="4"/>
  <c r="AD48" i="4" s="1"/>
  <c r="AK44" i="4"/>
  <c r="AK48" i="4"/>
  <c r="AI42" i="4"/>
  <c r="AD42" i="4" s="1"/>
  <c r="AK37" i="4"/>
  <c r="AK41" i="4"/>
  <c r="AI35" i="4"/>
  <c r="AD35" i="4" s="1"/>
  <c r="AI36" i="4"/>
  <c r="AD36" i="4" s="1"/>
  <c r="AK38" i="4"/>
  <c r="AK42" i="4"/>
  <c r="AI37" i="4"/>
  <c r="AD37" i="4" s="1"/>
  <c r="AI38" i="4"/>
  <c r="AD38" i="4" s="1"/>
  <c r="AK35" i="4"/>
  <c r="AK39" i="4"/>
  <c r="AI39" i="4"/>
  <c r="AD39" i="4" s="1"/>
  <c r="AI40" i="4"/>
  <c r="AD40" i="4" s="1"/>
  <c r="AK36" i="4"/>
  <c r="AK40" i="4"/>
  <c r="CQ147" i="4"/>
  <c r="O9" i="4"/>
  <c r="AJ18" i="4"/>
  <c r="F138" i="4"/>
  <c r="BD25" i="4"/>
  <c r="AI28" i="4"/>
  <c r="AN28" i="4" s="1"/>
  <c r="AH18" i="4"/>
  <c r="BD33" i="4"/>
  <c r="F136" i="4"/>
  <c r="H136" i="4" s="1"/>
  <c r="R136" i="4" s="1"/>
  <c r="F149" i="4"/>
  <c r="H149" i="4" s="1"/>
  <c r="R149" i="4" s="1"/>
  <c r="F148" i="4"/>
  <c r="H148" i="4" s="1"/>
  <c r="R148" i="4" s="1"/>
  <c r="BD23" i="4"/>
  <c r="AQ31" i="4"/>
  <c r="F146" i="4"/>
  <c r="H146" i="4" s="1"/>
  <c r="R146" i="4" s="1"/>
  <c r="F141" i="4"/>
  <c r="H141" i="4" s="1"/>
  <c r="R141" i="4" s="1"/>
  <c r="AI20" i="4"/>
  <c r="AI22" i="4"/>
  <c r="AQ22" i="4" s="1"/>
  <c r="BD22" i="4"/>
  <c r="AI21" i="4"/>
  <c r="AI30" i="4"/>
  <c r="AD30" i="4" s="1"/>
  <c r="AI24" i="4"/>
  <c r="AQ24" i="4" s="1"/>
  <c r="AL30" i="4"/>
  <c r="AI27" i="4"/>
  <c r="AK27" i="4" s="1"/>
  <c r="AI29" i="4"/>
  <c r="AK29" i="4" s="1"/>
  <c r="F147" i="4"/>
  <c r="F139" i="4"/>
  <c r="F150" i="4"/>
  <c r="H150" i="4" s="1"/>
  <c r="S150" i="4" s="1"/>
  <c r="F142" i="4"/>
  <c r="H142" i="4" s="1"/>
  <c r="S142" i="4" s="1"/>
  <c r="F137" i="4"/>
  <c r="H137" i="4" s="1"/>
  <c r="S137" i="4" s="1"/>
  <c r="AI34" i="4"/>
  <c r="AQ34" i="4" s="1"/>
  <c r="AI26" i="4"/>
  <c r="AN26" i="4" s="1"/>
  <c r="AI33" i="4"/>
  <c r="AK33" i="4" s="1"/>
  <c r="AI25" i="4"/>
  <c r="AL25" i="4" s="1"/>
  <c r="AI23" i="4"/>
  <c r="AD23" i="4" s="1"/>
  <c r="BA56" i="4" l="1"/>
  <c r="BA58" i="4"/>
  <c r="BA60" i="4"/>
  <c r="BA62" i="4"/>
  <c r="AY87" i="4"/>
  <c r="AY89" i="4"/>
  <c r="BC89" i="4"/>
  <c r="AY91" i="4"/>
  <c r="BA93" i="4"/>
  <c r="BC93" i="4"/>
  <c r="AS68" i="4"/>
  <c r="BA95" i="4"/>
  <c r="BA48" i="4"/>
  <c r="BA50" i="4"/>
  <c r="BC50" i="4"/>
  <c r="BA52" i="4"/>
  <c r="BC52" i="4"/>
  <c r="BA54" i="4"/>
  <c r="BA79" i="4"/>
  <c r="AY81" i="4"/>
  <c r="AY83" i="4"/>
  <c r="BA85" i="4"/>
  <c r="AY35" i="4"/>
  <c r="BA64" i="4"/>
  <c r="BC64" i="4"/>
  <c r="BA40" i="4"/>
  <c r="BA42" i="4"/>
  <c r="BC42" i="4"/>
  <c r="BB42" i="4" s="1"/>
  <c r="BC44" i="4"/>
  <c r="BA46" i="4"/>
  <c r="BC46" i="4"/>
  <c r="BA71" i="4"/>
  <c r="AY73" i="4"/>
  <c r="AY75" i="4"/>
  <c r="BC75" i="4"/>
  <c r="AY77" i="4"/>
  <c r="BC68" i="4"/>
  <c r="BA38" i="4"/>
  <c r="BA63" i="4"/>
  <c r="BC63" i="4"/>
  <c r="AY65" i="4"/>
  <c r="AY67" i="4"/>
  <c r="BA69" i="4"/>
  <c r="BA96" i="4"/>
  <c r="BC96" i="4"/>
  <c r="AY98" i="4"/>
  <c r="BA70" i="4"/>
  <c r="AY97" i="4"/>
  <c r="BC97" i="4"/>
  <c r="AY55" i="4"/>
  <c r="BC55" i="4"/>
  <c r="AY57" i="4"/>
  <c r="BC57" i="4"/>
  <c r="AY59" i="4"/>
  <c r="BA61" i="4"/>
  <c r="BA88" i="4"/>
  <c r="BA90" i="4"/>
  <c r="BA94" i="4"/>
  <c r="AY99" i="4"/>
  <c r="BC99" i="4"/>
  <c r="BA37" i="4"/>
  <c r="BA66" i="4"/>
  <c r="AY47" i="4"/>
  <c r="AY49" i="4"/>
  <c r="BC49" i="4"/>
  <c r="AY51" i="4"/>
  <c r="BA53" i="4"/>
  <c r="BA80" i="4"/>
  <c r="AY82" i="4"/>
  <c r="BC84" i="4"/>
  <c r="BA86" i="4"/>
  <c r="AY39" i="4"/>
  <c r="AY41" i="4"/>
  <c r="AY43" i="4"/>
  <c r="BC43" i="4"/>
  <c r="BA45" i="4"/>
  <c r="BA72" i="4"/>
  <c r="BA74" i="4"/>
  <c r="BC76" i="4"/>
  <c r="BA78" i="4"/>
  <c r="BA39" i="4"/>
  <c r="DN32" i="4"/>
  <c r="DA30" i="4"/>
  <c r="DN31" i="4"/>
  <c r="DA33" i="4"/>
  <c r="DA32" i="4"/>
  <c r="DA31" i="4"/>
  <c r="DN30" i="4"/>
  <c r="DP30" i="4"/>
  <c r="CY30" i="4"/>
  <c r="AN30" i="4"/>
  <c r="AT30" i="4" s="1"/>
  <c r="AQ30" i="4"/>
  <c r="AP28" i="4"/>
  <c r="AP32" i="4"/>
  <c r="AP29" i="4"/>
  <c r="AP26" i="4"/>
  <c r="AP34" i="4"/>
  <c r="AP23" i="4"/>
  <c r="AP25" i="4"/>
  <c r="AP27" i="4"/>
  <c r="AP30" i="4"/>
  <c r="BF30" i="4"/>
  <c r="AP31" i="4"/>
  <c r="AP33" i="4"/>
  <c r="AP24" i="4"/>
  <c r="AS44" i="4"/>
  <c r="BA87" i="4"/>
  <c r="BA83" i="4"/>
  <c r="AY85" i="4"/>
  <c r="AY48" i="4"/>
  <c r="AY64" i="4"/>
  <c r="AY54" i="4"/>
  <c r="BA67" i="4"/>
  <c r="AY60" i="4"/>
  <c r="AY70" i="4"/>
  <c r="BA68" i="4"/>
  <c r="BA98" i="4"/>
  <c r="AY69" i="4"/>
  <c r="BA82" i="4"/>
  <c r="AY74" i="4"/>
  <c r="H138" i="4"/>
  <c r="R138" i="4" s="1"/>
  <c r="R133" i="4" s="1"/>
  <c r="F155" i="4" s="1"/>
  <c r="T3" i="4"/>
  <c r="BA47" i="4"/>
  <c r="AY42" i="4"/>
  <c r="BA81" i="4"/>
  <c r="AY68" i="4"/>
  <c r="AY93" i="4"/>
  <c r="BA91" i="4"/>
  <c r="AY78" i="4"/>
  <c r="BA76" i="4"/>
  <c r="AY63" i="4"/>
  <c r="BB50" i="4"/>
  <c r="AY72" i="4"/>
  <c r="BA55" i="4"/>
  <c r="AY50" i="4"/>
  <c r="BA89" i="4"/>
  <c r="AY76" i="4"/>
  <c r="AY37" i="4"/>
  <c r="BA35" i="4"/>
  <c r="BA99" i="4"/>
  <c r="AY86" i="4"/>
  <c r="BA84" i="4"/>
  <c r="AY71" i="4"/>
  <c r="AY80" i="4"/>
  <c r="BA73" i="4"/>
  <c r="BA77" i="4"/>
  <c r="AS92" i="4"/>
  <c r="BC92" i="4" s="1"/>
  <c r="AY58" i="4"/>
  <c r="BA97" i="4"/>
  <c r="AY84" i="4"/>
  <c r="AY45" i="4"/>
  <c r="BA43" i="4"/>
  <c r="AY94" i="4"/>
  <c r="BA92" i="4"/>
  <c r="AY79" i="4"/>
  <c r="AY88" i="4"/>
  <c r="AY66" i="4"/>
  <c r="BA41" i="4"/>
  <c r="AY92" i="4"/>
  <c r="AY53" i="4"/>
  <c r="BA51" i="4"/>
  <c r="AY38" i="4"/>
  <c r="BA36" i="4"/>
  <c r="AY96" i="4"/>
  <c r="BA49" i="4"/>
  <c r="AY36" i="4"/>
  <c r="AY61" i="4"/>
  <c r="BA59" i="4"/>
  <c r="AY46" i="4"/>
  <c r="BA44" i="4"/>
  <c r="AY95" i="4"/>
  <c r="AY40" i="4"/>
  <c r="AY90" i="4"/>
  <c r="BA57" i="4"/>
  <c r="AY44" i="4"/>
  <c r="BA65" i="4"/>
  <c r="AY52" i="4"/>
  <c r="BA75" i="4"/>
  <c r="AY62" i="4"/>
  <c r="AY56" i="4"/>
  <c r="DH81" i="4"/>
  <c r="DS54" i="4"/>
  <c r="CW69" i="4"/>
  <c r="DR72" i="4"/>
  <c r="DG73" i="4"/>
  <c r="DG41" i="4"/>
  <c r="DS59" i="4"/>
  <c r="CW62" i="4"/>
  <c r="DR54" i="4"/>
  <c r="DG78" i="4"/>
  <c r="DG46" i="4"/>
  <c r="DS91" i="4"/>
  <c r="CW61" i="4"/>
  <c r="DR82" i="4"/>
  <c r="DR84" i="4"/>
  <c r="DH72" i="4"/>
  <c r="DH40" i="4"/>
  <c r="DS57" i="4"/>
  <c r="DS65" i="4"/>
  <c r="CW84" i="4"/>
  <c r="DR62" i="4"/>
  <c r="DS30" i="4"/>
  <c r="DH69" i="4"/>
  <c r="DH37" i="4"/>
  <c r="DS41" i="4"/>
  <c r="DH41" i="4"/>
  <c r="DS78" i="4"/>
  <c r="CW67" i="4"/>
  <c r="DR98" i="4"/>
  <c r="CW28" i="4"/>
  <c r="DG85" i="4"/>
  <c r="DG53" i="4"/>
  <c r="DR57" i="4"/>
  <c r="DS76" i="4"/>
  <c r="CW37" i="4"/>
  <c r="DH87" i="4"/>
  <c r="DH55" i="4"/>
  <c r="DS28" i="4"/>
  <c r="DS46" i="4"/>
  <c r="CW65" i="4"/>
  <c r="DR76" i="4"/>
  <c r="DH92" i="4"/>
  <c r="DH60" i="4"/>
  <c r="DH20" i="4"/>
  <c r="DG33" i="4"/>
  <c r="DR24" i="4"/>
  <c r="DG32" i="4"/>
  <c r="DS85" i="4"/>
  <c r="DG76" i="4"/>
  <c r="DS52" i="4"/>
  <c r="CW60" i="4"/>
  <c r="DR52" i="4"/>
  <c r="DR66" i="4"/>
  <c r="DH70" i="4"/>
  <c r="DH38" i="4"/>
  <c r="DS81" i="4"/>
  <c r="DS87" i="4"/>
  <c r="CW45" i="4"/>
  <c r="DR53" i="4"/>
  <c r="DH75" i="4"/>
  <c r="DH43" i="4"/>
  <c r="CW52" i="4"/>
  <c r="DS38" i="4"/>
  <c r="CW73" i="4"/>
  <c r="DR81" i="4"/>
  <c r="DG99" i="4"/>
  <c r="DG67" i="4"/>
  <c r="DG35" i="4"/>
  <c r="DG92" i="4"/>
  <c r="DS66" i="4"/>
  <c r="CW48" i="4"/>
  <c r="DR46" i="4"/>
  <c r="DG96" i="4"/>
  <c r="DG64" i="4"/>
  <c r="DH21" i="4"/>
  <c r="CW46" i="4"/>
  <c r="DG36" i="4"/>
  <c r="DS90" i="4"/>
  <c r="DR80" i="4"/>
  <c r="DH82" i="4"/>
  <c r="DH50" i="4"/>
  <c r="DS27" i="4"/>
  <c r="DR75" i="4"/>
  <c r="CW57" i="4"/>
  <c r="CW74" i="4"/>
  <c r="DG82" i="4"/>
  <c r="DG50" i="4"/>
  <c r="DR27" i="4"/>
  <c r="DS51" i="4"/>
  <c r="CW93" i="4"/>
  <c r="DS43" i="4"/>
  <c r="DG87" i="4"/>
  <c r="DG55" i="4"/>
  <c r="DR28" i="4"/>
  <c r="DR29" i="4"/>
  <c r="DS33" i="4"/>
  <c r="CW94" i="4"/>
  <c r="DH65" i="4"/>
  <c r="DS99" i="4"/>
  <c r="CW50" i="4"/>
  <c r="DR97" i="4"/>
  <c r="DG97" i="4"/>
  <c r="DG65" i="4"/>
  <c r="DH30" i="4"/>
  <c r="DS79" i="4"/>
  <c r="DS49" i="4"/>
  <c r="CW70" i="4"/>
  <c r="DR96" i="4"/>
  <c r="DR35" i="4"/>
  <c r="DG70" i="4"/>
  <c r="DG38" i="4"/>
  <c r="CW78" i="4"/>
  <c r="DS74" i="4"/>
  <c r="CW56" i="4"/>
  <c r="DR85" i="4"/>
  <c r="DH96" i="4"/>
  <c r="DH64" i="4"/>
  <c r="DG27" i="4"/>
  <c r="DS73" i="4"/>
  <c r="DS84" i="4"/>
  <c r="CW85" i="4"/>
  <c r="DR51" i="4"/>
  <c r="DH93" i="4"/>
  <c r="DH61" i="4"/>
  <c r="DR34" i="4"/>
  <c r="DH97" i="4"/>
  <c r="DH25" i="4"/>
  <c r="DS72" i="4"/>
  <c r="CW79" i="4"/>
  <c r="DR67" i="4"/>
  <c r="DG77" i="4"/>
  <c r="DG45" i="4"/>
  <c r="DR26" i="4"/>
  <c r="DS60" i="4"/>
  <c r="CW88" i="4"/>
  <c r="DR63" i="4"/>
  <c r="CW13" i="4"/>
  <c r="DF28" i="4" s="1"/>
  <c r="DH79" i="4"/>
  <c r="DH47" i="4"/>
  <c r="DS58" i="4"/>
  <c r="CW36" i="4"/>
  <c r="CW43" i="4"/>
  <c r="DH84" i="4"/>
  <c r="DH52" i="4"/>
  <c r="DH24" i="4"/>
  <c r="DQ22" i="4"/>
  <c r="DH32" i="4"/>
  <c r="CZ22" i="4"/>
  <c r="CW71" i="4"/>
  <c r="DG60" i="4"/>
  <c r="DS92" i="4"/>
  <c r="CW82" i="4"/>
  <c r="DR79" i="4"/>
  <c r="DH94" i="4"/>
  <c r="DH62" i="4"/>
  <c r="CW90" i="4"/>
  <c r="DS97" i="4"/>
  <c r="CW53" i="4"/>
  <c r="DR99" i="4"/>
  <c r="DH99" i="4"/>
  <c r="DH67" i="4"/>
  <c r="DH35" i="4"/>
  <c r="DS42" i="4"/>
  <c r="DS35" i="4"/>
  <c r="CW86" i="4"/>
  <c r="DR48" i="4"/>
  <c r="DG91" i="4"/>
  <c r="DG59" i="4"/>
  <c r="DS95" i="4"/>
  <c r="DS39" i="4"/>
  <c r="DR90" i="4"/>
  <c r="DR93" i="4"/>
  <c r="DG88" i="4"/>
  <c r="DG56" i="4"/>
  <c r="DG84" i="4"/>
  <c r="DG20" i="4"/>
  <c r="DS69" i="4"/>
  <c r="CW97" i="4"/>
  <c r="DR91" i="4"/>
  <c r="CW16" i="4"/>
  <c r="DH74" i="4"/>
  <c r="DH42" i="4"/>
  <c r="DS75" i="4"/>
  <c r="CW87" i="4"/>
  <c r="DR45" i="4"/>
  <c r="DR44" i="4"/>
  <c r="DG74" i="4"/>
  <c r="DG42" i="4"/>
  <c r="DS70" i="4"/>
  <c r="CW72" i="4"/>
  <c r="DG79" i="4"/>
  <c r="DG47" i="4"/>
  <c r="DS21" i="4"/>
  <c r="DH33" i="4"/>
  <c r="DQ20" i="4"/>
  <c r="DH23" i="4"/>
  <c r="DI22" i="4"/>
  <c r="CW32" i="4"/>
  <c r="DR38" i="4"/>
  <c r="DH49" i="4"/>
  <c r="DS48" i="4"/>
  <c r="CW49" i="4"/>
  <c r="DR50" i="4"/>
  <c r="DG89" i="4"/>
  <c r="DG57" i="4"/>
  <c r="DG25" i="4"/>
  <c r="DR88" i="4"/>
  <c r="CW34" i="4"/>
  <c r="CW25" i="4"/>
  <c r="DR70" i="4"/>
  <c r="DG94" i="4"/>
  <c r="DG62" i="4"/>
  <c r="DG30" i="4"/>
  <c r="DS93" i="4"/>
  <c r="CW95" i="4"/>
  <c r="DR55" i="4"/>
  <c r="DH88" i="4"/>
  <c r="DH56" i="4"/>
  <c r="DS34" i="4"/>
  <c r="DS88" i="4"/>
  <c r="CW99" i="4"/>
  <c r="DR60" i="4"/>
  <c r="DR65" i="4"/>
  <c r="DH85" i="4"/>
  <c r="DH53" i="4"/>
  <c r="DH73" i="4"/>
  <c r="DS96" i="4"/>
  <c r="CW55" i="4"/>
  <c r="DR47" i="4"/>
  <c r="CW30" i="4"/>
  <c r="DG69" i="4"/>
  <c r="DG37" i="4"/>
  <c r="DS53" i="4"/>
  <c r="DS67" i="4"/>
  <c r="CW54" i="4"/>
  <c r="DR36" i="4"/>
  <c r="CW20" i="4"/>
  <c r="DH71" i="4"/>
  <c r="DH39" i="4"/>
  <c r="DS20" i="4"/>
  <c r="DS45" i="4"/>
  <c r="CW41" i="4"/>
  <c r="DR95" i="4"/>
  <c r="DH76" i="4"/>
  <c r="DH44" i="4"/>
  <c r="DR20" i="4"/>
  <c r="DR31" i="4"/>
  <c r="DS29" i="4"/>
  <c r="DT22" i="4"/>
  <c r="DQ21" i="4"/>
  <c r="DS32" i="4"/>
  <c r="CW24" i="4"/>
  <c r="DR71" i="4"/>
  <c r="DG44" i="4"/>
  <c r="DS71" i="4"/>
  <c r="CW98" i="4"/>
  <c r="DR49" i="4"/>
  <c r="DH86" i="4"/>
  <c r="DH54" i="4"/>
  <c r="DH22" i="4"/>
  <c r="DR61" i="4"/>
  <c r="CW76" i="4"/>
  <c r="DR74" i="4"/>
  <c r="DR69" i="4"/>
  <c r="DH91" i="4"/>
  <c r="DH59" i="4"/>
  <c r="DH27" i="4"/>
  <c r="DS98" i="4"/>
  <c r="CW64" i="4"/>
  <c r="DR94" i="4"/>
  <c r="DR73" i="4"/>
  <c r="DG83" i="4"/>
  <c r="DG51" i="4"/>
  <c r="DS62" i="4"/>
  <c r="CW81" i="4"/>
  <c r="DR59" i="4"/>
  <c r="CW44" i="4"/>
  <c r="DG80" i="4"/>
  <c r="DG48" i="4"/>
  <c r="DS26" i="4"/>
  <c r="DG68" i="4"/>
  <c r="DS22" i="4"/>
  <c r="DS86" i="4"/>
  <c r="CW77" i="4"/>
  <c r="DR87" i="4"/>
  <c r="DH98" i="4"/>
  <c r="DH66" i="4"/>
  <c r="DH34" i="4"/>
  <c r="DS61" i="4"/>
  <c r="DS68" i="4"/>
  <c r="CW83" i="4"/>
  <c r="DR78" i="4"/>
  <c r="DG98" i="4"/>
  <c r="DG66" i="4"/>
  <c r="DG34" i="4"/>
  <c r="DR21" i="4"/>
  <c r="DS47" i="4"/>
  <c r="DR37" i="4"/>
  <c r="DR42" i="4"/>
  <c r="DG71" i="4"/>
  <c r="DG39" i="4"/>
  <c r="DH29" i="4"/>
  <c r="DG31" i="4"/>
  <c r="DR23" i="4"/>
  <c r="DR32" i="4"/>
  <c r="CZ21" i="4"/>
  <c r="DR43" i="4"/>
  <c r="DG28" i="4"/>
  <c r="CW92" i="4"/>
  <c r="CW96" i="4"/>
  <c r="CW42" i="4"/>
  <c r="DG81" i="4"/>
  <c r="DG49" i="4"/>
  <c r="CW22" i="4"/>
  <c r="CW58" i="4"/>
  <c r="DR89" i="4"/>
  <c r="DS44" i="4"/>
  <c r="DG86" i="4"/>
  <c r="DG54" i="4"/>
  <c r="DG22" i="4"/>
  <c r="DS64" i="4"/>
  <c r="CW39" i="4"/>
  <c r="DR83" i="4"/>
  <c r="CW27" i="4"/>
  <c r="DH80" i="4"/>
  <c r="DH48" i="4"/>
  <c r="DS25" i="4"/>
  <c r="DS63" i="4"/>
  <c r="CW66" i="4"/>
  <c r="DR68" i="4"/>
  <c r="DH77" i="4"/>
  <c r="DH45" i="4"/>
  <c r="DR25" i="4"/>
  <c r="DH57" i="4"/>
  <c r="DS50" i="4"/>
  <c r="DS56" i="4"/>
  <c r="CW59" i="4"/>
  <c r="DR64" i="4"/>
  <c r="DG93" i="4"/>
  <c r="DG61" i="4"/>
  <c r="DH26" i="4"/>
  <c r="CW63" i="4"/>
  <c r="DS37" i="4"/>
  <c r="CW89" i="4"/>
  <c r="CW21" i="4"/>
  <c r="DH95" i="4"/>
  <c r="DH63" i="4"/>
  <c r="DG26" i="4"/>
  <c r="DS36" i="4"/>
  <c r="CW80" i="4"/>
  <c r="DR56" i="4"/>
  <c r="DR30" i="4"/>
  <c r="DH68" i="4"/>
  <c r="DH36" i="4"/>
  <c r="DS31" i="4"/>
  <c r="DR33" i="4"/>
  <c r="DG23" i="4"/>
  <c r="AK20" i="4"/>
  <c r="AP20" i="4"/>
  <c r="AK21" i="4"/>
  <c r="AP21" i="4"/>
  <c r="AP22" i="4"/>
  <c r="AS61" i="4"/>
  <c r="BC61" i="4" s="1"/>
  <c r="AS35" i="4"/>
  <c r="BC35" i="4" s="1"/>
  <c r="AS36" i="4"/>
  <c r="BC36" i="4" s="1"/>
  <c r="AS90" i="4"/>
  <c r="CW33" i="4"/>
  <c r="DG29" i="4"/>
  <c r="CW23" i="4"/>
  <c r="CW31" i="4"/>
  <c r="AS63" i="4"/>
  <c r="DS24" i="4"/>
  <c r="CZ20" i="4"/>
  <c r="CW29" i="4"/>
  <c r="AS60" i="4"/>
  <c r="BC60" i="4" s="1"/>
  <c r="AS84" i="4"/>
  <c r="AS95" i="4"/>
  <c r="BC95" i="4" s="1"/>
  <c r="AS76" i="4"/>
  <c r="AS86" i="4"/>
  <c r="BC86" i="4" s="1"/>
  <c r="AS85" i="4"/>
  <c r="BC85" i="4" s="1"/>
  <c r="AS78" i="4"/>
  <c r="BC78" i="4" s="1"/>
  <c r="AS55" i="4"/>
  <c r="AS53" i="4"/>
  <c r="BC53" i="4" s="1"/>
  <c r="AS37" i="4"/>
  <c r="BC37" i="4" s="1"/>
  <c r="C10" i="19"/>
  <c r="AS93" i="4"/>
  <c r="C11" i="19"/>
  <c r="AS71" i="4"/>
  <c r="BC71" i="4" s="1"/>
  <c r="AS39" i="4"/>
  <c r="BC39" i="4" s="1"/>
  <c r="AS77" i="4"/>
  <c r="BC77" i="4" s="1"/>
  <c r="AS47" i="4"/>
  <c r="BC47" i="4" s="1"/>
  <c r="AS69" i="4"/>
  <c r="BC69" i="4" s="1"/>
  <c r="AS51" i="4"/>
  <c r="BC51" i="4" s="1"/>
  <c r="AS87" i="4"/>
  <c r="BC87" i="4" s="1"/>
  <c r="BM99" i="4"/>
  <c r="BN99" i="4" s="1"/>
  <c r="AS98" i="4"/>
  <c r="BC98" i="4" s="1"/>
  <c r="AS54" i="4"/>
  <c r="BC54" i="4" s="1"/>
  <c r="AS75" i="4"/>
  <c r="AS91" i="4"/>
  <c r="BC91" i="4" s="1"/>
  <c r="AS38" i="4"/>
  <c r="BC38" i="4" s="1"/>
  <c r="AS79" i="4"/>
  <c r="BC79" i="4" s="1"/>
  <c r="AS70" i="4"/>
  <c r="BC70" i="4" s="1"/>
  <c r="AS45" i="4"/>
  <c r="BC45" i="4" s="1"/>
  <c r="H13" i="4"/>
  <c r="C13" i="5"/>
  <c r="AS66" i="4"/>
  <c r="BC66" i="4" s="1"/>
  <c r="AS94" i="4"/>
  <c r="BC94" i="4" s="1"/>
  <c r="AS56" i="4"/>
  <c r="BC56" i="4" s="1"/>
  <c r="AS67" i="4"/>
  <c r="BC67" i="4" s="1"/>
  <c r="AS99" i="4"/>
  <c r="CR148" i="4"/>
  <c r="AS62" i="4"/>
  <c r="BC62" i="4" s="1"/>
  <c r="CR147" i="4"/>
  <c r="AS83" i="4"/>
  <c r="BC83" i="4" s="1"/>
  <c r="AK31" i="4"/>
  <c r="CR145" i="4"/>
  <c r="CR146" i="4"/>
  <c r="DF77" i="4"/>
  <c r="DF33" i="4"/>
  <c r="DF22" i="4"/>
  <c r="DF20" i="4"/>
  <c r="DF42" i="4"/>
  <c r="DF53" i="4"/>
  <c r="DF87" i="4"/>
  <c r="DF81" i="4"/>
  <c r="AJ4" i="4"/>
  <c r="AQ32" i="4"/>
  <c r="AN32" i="4"/>
  <c r="AT32" i="4" s="1"/>
  <c r="AU32" i="4" s="1"/>
  <c r="AL32" i="4"/>
  <c r="CF99" i="4"/>
  <c r="AS41" i="4"/>
  <c r="BC41" i="4" s="1"/>
  <c r="AS88" i="4"/>
  <c r="BC88" i="4" s="1"/>
  <c r="AS43" i="4"/>
  <c r="AS59" i="4"/>
  <c r="BC59" i="4" s="1"/>
  <c r="AS49" i="4"/>
  <c r="AS73" i="4"/>
  <c r="BC73" i="4" s="1"/>
  <c r="AS40" i="4"/>
  <c r="BC40" i="4" s="1"/>
  <c r="AS48" i="4"/>
  <c r="BC48" i="4" s="1"/>
  <c r="AS82" i="4"/>
  <c r="BC82" i="4" s="1"/>
  <c r="AK28" i="4"/>
  <c r="AS72" i="4"/>
  <c r="BC72" i="4" s="1"/>
  <c r="AS96" i="4"/>
  <c r="AD32" i="4"/>
  <c r="BF32" i="4"/>
  <c r="AK30" i="4"/>
  <c r="AS81" i="4"/>
  <c r="BC81" i="4" s="1"/>
  <c r="BF31" i="4"/>
  <c r="AD31" i="4"/>
  <c r="AL31" i="4"/>
  <c r="AS64" i="4"/>
  <c r="AS74" i="4"/>
  <c r="BC74" i="4" s="1"/>
  <c r="AS80" i="4"/>
  <c r="BC80" i="4" s="1"/>
  <c r="AS58" i="4"/>
  <c r="BC58" i="4" s="1"/>
  <c r="AS65" i="4"/>
  <c r="BC65" i="4" s="1"/>
  <c r="AN22" i="4"/>
  <c r="AR22" i="4" s="1"/>
  <c r="AK23" i="4"/>
  <c r="AK24" i="4"/>
  <c r="AK26" i="4"/>
  <c r="AK25" i="4"/>
  <c r="AQ23" i="4"/>
  <c r="AT31" i="4"/>
  <c r="AU31" i="4" s="1"/>
  <c r="AQ25" i="4"/>
  <c r="AR26" i="4"/>
  <c r="AT26" i="4"/>
  <c r="AU26" i="4" s="1"/>
  <c r="AD22" i="4"/>
  <c r="BF22" i="4"/>
  <c r="AD33" i="4"/>
  <c r="AQ33" i="4"/>
  <c r="BF33" i="4"/>
  <c r="AQ26" i="4"/>
  <c r="AK34" i="4"/>
  <c r="AD29" i="4"/>
  <c r="AQ29" i="4"/>
  <c r="AL29" i="4"/>
  <c r="BF29" i="4"/>
  <c r="AN29" i="4"/>
  <c r="AR29" i="4" s="1"/>
  <c r="AL26" i="4"/>
  <c r="AD24" i="4"/>
  <c r="AN24" i="4"/>
  <c r="AT24" i="4" s="1"/>
  <c r="AU24" i="4" s="1"/>
  <c r="BF24" i="4"/>
  <c r="AL24" i="4"/>
  <c r="AL22" i="4"/>
  <c r="AL23" i="4"/>
  <c r="AL20" i="4"/>
  <c r="AN20" i="4"/>
  <c r="AT20" i="4" s="1"/>
  <c r="AU20" i="4" s="1"/>
  <c r="AQ20" i="4"/>
  <c r="BF20" i="4"/>
  <c r="AD20" i="4"/>
  <c r="AD27" i="4"/>
  <c r="BF27" i="4"/>
  <c r="AQ27" i="4"/>
  <c r="AL27" i="4"/>
  <c r="AN27" i="4"/>
  <c r="AT27" i="4" s="1"/>
  <c r="AU27" i="4" s="1"/>
  <c r="AL28" i="4"/>
  <c r="AT28" i="4"/>
  <c r="AU28" i="4" s="1"/>
  <c r="AQ28" i="4"/>
  <c r="BF28" i="4"/>
  <c r="AR28" i="4"/>
  <c r="AD28" i="4"/>
  <c r="AD34" i="4"/>
  <c r="AN34" i="4"/>
  <c r="AT34" i="4" s="1"/>
  <c r="AU34" i="4" s="1"/>
  <c r="AL34" i="4"/>
  <c r="BF34" i="4"/>
  <c r="AD26" i="4"/>
  <c r="BF26" i="4"/>
  <c r="AN21" i="4"/>
  <c r="AR21" i="4" s="1"/>
  <c r="BF21" i="4"/>
  <c r="AQ21" i="4"/>
  <c r="AL21" i="4"/>
  <c r="BF23" i="4"/>
  <c r="AN23" i="4"/>
  <c r="AD25" i="4"/>
  <c r="AN25" i="4"/>
  <c r="BF25" i="4"/>
  <c r="AK22" i="4"/>
  <c r="AL33" i="4"/>
  <c r="AN33" i="4"/>
  <c r="AB18" i="4" a="1"/>
  <c r="AB18" i="4" s="1"/>
  <c r="BG15" i="4"/>
  <c r="AD21" i="4"/>
  <c r="H139" i="4"/>
  <c r="S139" i="4" s="1"/>
  <c r="H147" i="4"/>
  <c r="S147" i="4" s="1"/>
  <c r="F6" i="4"/>
  <c r="AI18" i="4"/>
  <c r="DF76" i="4" l="1"/>
  <c r="DJ76" i="4" s="1"/>
  <c r="CC76" i="4" s="1"/>
  <c r="DF91" i="4"/>
  <c r="DJ91" i="4" s="1"/>
  <c r="CC91" i="4" s="1"/>
  <c r="DF63" i="4"/>
  <c r="DJ63" i="4" s="1"/>
  <c r="CC63" i="4" s="1"/>
  <c r="DF36" i="4"/>
  <c r="DJ36" i="4" s="1"/>
  <c r="CC36" i="4" s="1"/>
  <c r="DF93" i="4"/>
  <c r="DJ93" i="4" s="1"/>
  <c r="CC93" i="4" s="1"/>
  <c r="DF46" i="4"/>
  <c r="DJ46" i="4" s="1"/>
  <c r="CC46" i="4" s="1"/>
  <c r="DF41" i="4"/>
  <c r="DJ41" i="4" s="1"/>
  <c r="CC41" i="4" s="1"/>
  <c r="DF26" i="4"/>
  <c r="DJ26" i="4" s="1"/>
  <c r="DF95" i="4"/>
  <c r="DJ95" i="4" s="1"/>
  <c r="CC95" i="4" s="1"/>
  <c r="DF29" i="4"/>
  <c r="DJ29" i="4" s="1"/>
  <c r="DF88" i="4"/>
  <c r="DJ88" i="4" s="1"/>
  <c r="CC88" i="4" s="1"/>
  <c r="DF35" i="4"/>
  <c r="DJ35" i="4" s="1"/>
  <c r="CC35" i="4" s="1"/>
  <c r="DF94" i="4"/>
  <c r="DJ94" i="4" s="1"/>
  <c r="CC94" i="4" s="1"/>
  <c r="DF64" i="4"/>
  <c r="DJ64" i="4" s="1"/>
  <c r="CC64" i="4" s="1"/>
  <c r="DF54" i="4"/>
  <c r="DJ54" i="4" s="1"/>
  <c r="CC54" i="4" s="1"/>
  <c r="DF50" i="4"/>
  <c r="DJ50" i="4" s="1"/>
  <c r="CC50" i="4" s="1"/>
  <c r="DF30" i="4"/>
  <c r="DJ30" i="4" s="1"/>
  <c r="DF47" i="4"/>
  <c r="DJ47" i="4" s="1"/>
  <c r="CC47" i="4" s="1"/>
  <c r="DF51" i="4"/>
  <c r="DJ51" i="4" s="1"/>
  <c r="CC51" i="4" s="1"/>
  <c r="DF48" i="4"/>
  <c r="DJ48" i="4" s="1"/>
  <c r="CC48" i="4" s="1"/>
  <c r="DF96" i="4"/>
  <c r="DJ96" i="4" s="1"/>
  <c r="CC96" i="4" s="1"/>
  <c r="DF83" i="4"/>
  <c r="DJ83" i="4" s="1"/>
  <c r="CC83" i="4" s="1"/>
  <c r="DF59" i="4"/>
  <c r="DJ59" i="4" s="1"/>
  <c r="CC59" i="4" s="1"/>
  <c r="DF79" i="4"/>
  <c r="DJ79" i="4" s="1"/>
  <c r="CC79" i="4" s="1"/>
  <c r="DF34" i="4"/>
  <c r="DJ34" i="4" s="1"/>
  <c r="DF74" i="4"/>
  <c r="DJ74" i="4" s="1"/>
  <c r="CC74" i="4" s="1"/>
  <c r="AR30" i="4"/>
  <c r="AS30" i="4" s="1"/>
  <c r="BB66" i="4"/>
  <c r="BC90" i="4"/>
  <c r="BB90" i="4" s="1"/>
  <c r="AU30" i="4"/>
  <c r="AV30" i="4"/>
  <c r="AW30" i="4" s="1"/>
  <c r="AX30" i="4"/>
  <c r="DJ33" i="4"/>
  <c r="DJ87" i="4"/>
  <c r="CC87" i="4" s="1"/>
  <c r="DJ42" i="4"/>
  <c r="CC42" i="4" s="1"/>
  <c r="DJ77" i="4"/>
  <c r="CC77" i="4" s="1"/>
  <c r="DJ28" i="4"/>
  <c r="BB74" i="4"/>
  <c r="BB98" i="4"/>
  <c r="BB58" i="4"/>
  <c r="BB99" i="4"/>
  <c r="BB82" i="4"/>
  <c r="DF72" i="4"/>
  <c r="DJ72" i="4" s="1"/>
  <c r="CC72" i="4" s="1"/>
  <c r="DF40" i="4"/>
  <c r="DJ40" i="4" s="1"/>
  <c r="CC40" i="4" s="1"/>
  <c r="DF73" i="4"/>
  <c r="DJ73" i="4" s="1"/>
  <c r="CC73" i="4" s="1"/>
  <c r="DF27" i="4"/>
  <c r="DJ27" i="4" s="1"/>
  <c r="DF45" i="4"/>
  <c r="DJ45" i="4" s="1"/>
  <c r="CC45" i="4" s="1"/>
  <c r="DF86" i="4"/>
  <c r="DJ86" i="4" s="1"/>
  <c r="CC86" i="4" s="1"/>
  <c r="DF52" i="4"/>
  <c r="DJ52" i="4" s="1"/>
  <c r="CC52" i="4" s="1"/>
  <c r="DF97" i="4"/>
  <c r="DJ97" i="4" s="1"/>
  <c r="CC97" i="4" s="1"/>
  <c r="DF55" i="4"/>
  <c r="DJ55" i="4" s="1"/>
  <c r="CC55" i="4" s="1"/>
  <c r="DF75" i="4"/>
  <c r="DJ75" i="4" s="1"/>
  <c r="CC75" i="4" s="1"/>
  <c r="DF90" i="4"/>
  <c r="DJ90" i="4" s="1"/>
  <c r="CC90" i="4" s="1"/>
  <c r="AH4" i="4"/>
  <c r="AH12" i="4" s="1"/>
  <c r="AH13" i="4" s="1"/>
  <c r="DF23" i="4"/>
  <c r="DJ23" i="4" s="1"/>
  <c r="DF32" i="4"/>
  <c r="DJ32" i="4" s="1"/>
  <c r="DF65" i="4"/>
  <c r="DJ65" i="4" s="1"/>
  <c r="CC65" i="4" s="1"/>
  <c r="DF98" i="4"/>
  <c r="DJ98" i="4" s="1"/>
  <c r="CC98" i="4" s="1"/>
  <c r="DF37" i="4"/>
  <c r="DJ37" i="4" s="1"/>
  <c r="CC37" i="4" s="1"/>
  <c r="DF70" i="4"/>
  <c r="DJ70" i="4" s="1"/>
  <c r="CC70" i="4" s="1"/>
  <c r="DF56" i="4"/>
  <c r="DJ56" i="4" s="1"/>
  <c r="CC56" i="4" s="1"/>
  <c r="DF49" i="4"/>
  <c r="DJ49" i="4" s="1"/>
  <c r="CC49" i="4" s="1"/>
  <c r="DF66" i="4"/>
  <c r="DJ66" i="4" s="1"/>
  <c r="CC66" i="4" s="1"/>
  <c r="DF43" i="4"/>
  <c r="DJ43" i="4" s="1"/>
  <c r="CC43" i="4" s="1"/>
  <c r="DF61" i="4"/>
  <c r="DJ61" i="4" s="1"/>
  <c r="CC61" i="4" s="1"/>
  <c r="DF68" i="4"/>
  <c r="DJ68" i="4" s="1"/>
  <c r="CC68" i="4" s="1"/>
  <c r="DF24" i="4"/>
  <c r="DJ24" i="4" s="1"/>
  <c r="DF57" i="4"/>
  <c r="DJ57" i="4" s="1"/>
  <c r="CC57" i="4" s="1"/>
  <c r="DF82" i="4"/>
  <c r="DJ82" i="4" s="1"/>
  <c r="CC82" i="4" s="1"/>
  <c r="DF21" i="4"/>
  <c r="DJ21" i="4" s="1"/>
  <c r="DF39" i="4"/>
  <c r="DJ39" i="4" s="1"/>
  <c r="CC39" i="4" s="1"/>
  <c r="DF60" i="4"/>
  <c r="DJ60" i="4" s="1"/>
  <c r="CC60" i="4" s="1"/>
  <c r="DF31" i="4"/>
  <c r="DJ31" i="4" s="1"/>
  <c r="DF67" i="4"/>
  <c r="DJ67" i="4" s="1"/>
  <c r="CC67" i="4" s="1"/>
  <c r="DF85" i="4"/>
  <c r="DJ85" i="4" s="1"/>
  <c r="CC85" i="4" s="1"/>
  <c r="DF78" i="4"/>
  <c r="DJ78" i="4" s="1"/>
  <c r="CC78" i="4" s="1"/>
  <c r="DF69" i="4"/>
  <c r="DJ69" i="4" s="1"/>
  <c r="CC69" i="4" s="1"/>
  <c r="DF58" i="4"/>
  <c r="DJ58" i="4" s="1"/>
  <c r="CC58" i="4" s="1"/>
  <c r="DF99" i="4"/>
  <c r="DJ99" i="4" s="1"/>
  <c r="CC99" i="4" s="1"/>
  <c r="DF38" i="4"/>
  <c r="DJ38" i="4" s="1"/>
  <c r="CC38" i="4" s="1"/>
  <c r="DF71" i="4"/>
  <c r="DJ71" i="4" s="1"/>
  <c r="CC71" i="4" s="1"/>
  <c r="DF80" i="4"/>
  <c r="DJ80" i="4" s="1"/>
  <c r="CC80" i="4" s="1"/>
  <c r="DF44" i="4"/>
  <c r="DJ44" i="4" s="1"/>
  <c r="CC44" i="4" s="1"/>
  <c r="DF92" i="4"/>
  <c r="DJ92" i="4" s="1"/>
  <c r="CC92" i="4" s="1"/>
  <c r="DF62" i="4"/>
  <c r="DJ62" i="4" s="1"/>
  <c r="CC62" i="4" s="1"/>
  <c r="DF25" i="4"/>
  <c r="DJ25" i="4" s="1"/>
  <c r="DF84" i="4"/>
  <c r="DJ84" i="4" s="1"/>
  <c r="CC84" i="4" s="1"/>
  <c r="DF89" i="4"/>
  <c r="DJ89" i="4" s="1"/>
  <c r="CC89" i="4" s="1"/>
  <c r="S133" i="4"/>
  <c r="V133" i="4" s="1"/>
  <c r="DJ81" i="4"/>
  <c r="CC81" i="4" s="1"/>
  <c r="DJ53" i="4"/>
  <c r="CC53" i="4" s="1"/>
  <c r="DJ20" i="4"/>
  <c r="BX99" i="4"/>
  <c r="DJ22" i="4"/>
  <c r="AP18" i="4"/>
  <c r="C12" i="19"/>
  <c r="CE99" i="4"/>
  <c r="CL99" i="4" s="1"/>
  <c r="BO99" i="4"/>
  <c r="BP99" i="4" s="1"/>
  <c r="BW99" i="4"/>
  <c r="C15" i="5"/>
  <c r="BB92" i="4"/>
  <c r="AR32" i="4"/>
  <c r="AX32" i="4" s="1"/>
  <c r="BB95" i="4"/>
  <c r="BB83" i="4"/>
  <c r="BB85" i="4"/>
  <c r="BB51" i="4"/>
  <c r="BB87" i="4"/>
  <c r="BB62" i="4"/>
  <c r="BB55" i="4"/>
  <c r="BB38" i="4"/>
  <c r="BB45" i="4"/>
  <c r="BB97" i="4"/>
  <c r="BB35" i="4"/>
  <c r="AT22" i="4"/>
  <c r="AU22" i="4" s="1"/>
  <c r="BB67" i="4"/>
  <c r="AV31" i="4"/>
  <c r="AW31" i="4" s="1"/>
  <c r="BB73" i="4"/>
  <c r="BB41" i="4"/>
  <c r="BB71" i="4"/>
  <c r="AK18" i="4"/>
  <c r="BB61" i="4"/>
  <c r="BB91" i="4"/>
  <c r="BB44" i="4"/>
  <c r="BB84" i="4"/>
  <c r="BB80" i="4"/>
  <c r="BB93" i="4"/>
  <c r="BB89" i="4"/>
  <c r="AR24" i="4"/>
  <c r="AX24" i="4" s="1"/>
  <c r="BB96" i="4"/>
  <c r="BM72" i="4"/>
  <c r="BO72" i="4" s="1"/>
  <c r="CF72" i="4"/>
  <c r="CE72" i="4"/>
  <c r="CL72" i="4" s="1"/>
  <c r="BB56" i="4"/>
  <c r="CE90" i="4"/>
  <c r="CL90" i="4" s="1"/>
  <c r="CF90" i="4"/>
  <c r="BM90" i="4"/>
  <c r="BN90" i="4" s="1"/>
  <c r="BM76" i="4"/>
  <c r="BO76" i="4" s="1"/>
  <c r="CE76" i="4"/>
  <c r="CL76" i="4" s="1"/>
  <c r="CF76" i="4"/>
  <c r="BM50" i="4"/>
  <c r="BN50" i="4" s="1"/>
  <c r="CF50" i="4"/>
  <c r="CE50" i="4"/>
  <c r="CL50" i="4" s="1"/>
  <c r="BM36" i="4"/>
  <c r="BO36" i="4" s="1"/>
  <c r="CF36" i="4"/>
  <c r="CE36" i="4"/>
  <c r="CL36" i="4" s="1"/>
  <c r="AQ18" i="4"/>
  <c r="CE67" i="4"/>
  <c r="CL67" i="4" s="1"/>
  <c r="CF67" i="4"/>
  <c r="BM67" i="4"/>
  <c r="BW67" i="4" s="1"/>
  <c r="BM35" i="4"/>
  <c r="BO35" i="4" s="1"/>
  <c r="CF35" i="4"/>
  <c r="CE35" i="4"/>
  <c r="CL35" i="4" s="1"/>
  <c r="BB78" i="4"/>
  <c r="BM54" i="4"/>
  <c r="BN54" i="4" s="1"/>
  <c r="CF54" i="4"/>
  <c r="CE54" i="4"/>
  <c r="CL54" i="4" s="1"/>
  <c r="BM84" i="4"/>
  <c r="BW84" i="4" s="1"/>
  <c r="CF84" i="4"/>
  <c r="CE84" i="4"/>
  <c r="CL84" i="4" s="1"/>
  <c r="CE74" i="4"/>
  <c r="CL74" i="4" s="1"/>
  <c r="BM74" i="4"/>
  <c r="BW74" i="4" s="1"/>
  <c r="CF74" i="4"/>
  <c r="AR34" i="4"/>
  <c r="AS34" i="4" s="1"/>
  <c r="BB77" i="4"/>
  <c r="CF53" i="4"/>
  <c r="CE53" i="4"/>
  <c r="CL53" i="4" s="1"/>
  <c r="BM53" i="4"/>
  <c r="BX53" i="4" s="1"/>
  <c r="BB81" i="4"/>
  <c r="BM57" i="4"/>
  <c r="BW57" i="4" s="1"/>
  <c r="CE57" i="4"/>
  <c r="CL57" i="4" s="1"/>
  <c r="CF57" i="4"/>
  <c r="BB49" i="4"/>
  <c r="BM63" i="4"/>
  <c r="BX63" i="4" s="1"/>
  <c r="CF63" i="4"/>
  <c r="CE63" i="4"/>
  <c r="CL63" i="4" s="1"/>
  <c r="BB47" i="4"/>
  <c r="BM94" i="4"/>
  <c r="BN94" i="4" s="1"/>
  <c r="CE94" i="4"/>
  <c r="CL94" i="4" s="1"/>
  <c r="CF94" i="4"/>
  <c r="BM70" i="4"/>
  <c r="BO70" i="4" s="1"/>
  <c r="CE70" i="4"/>
  <c r="CL70" i="4" s="1"/>
  <c r="CF70" i="4"/>
  <c r="BB54" i="4"/>
  <c r="CE98" i="4"/>
  <c r="CL98" i="4" s="1"/>
  <c r="BM98" i="4"/>
  <c r="BO98" i="4" s="1"/>
  <c r="CF98" i="4"/>
  <c r="BM60" i="4"/>
  <c r="BN60" i="4" s="1"/>
  <c r="CF60" i="4"/>
  <c r="CE60" i="4"/>
  <c r="CL60" i="4" s="1"/>
  <c r="BM96" i="4"/>
  <c r="BN96" i="4" s="1"/>
  <c r="CE96" i="4"/>
  <c r="CL96" i="4" s="1"/>
  <c r="CF96" i="4"/>
  <c r="BB72" i="4"/>
  <c r="BB60" i="4"/>
  <c r="BB59" i="4"/>
  <c r="BM87" i="4"/>
  <c r="BN87" i="4" s="1"/>
  <c r="CE87" i="4"/>
  <c r="CL87" i="4" s="1"/>
  <c r="CF87" i="4"/>
  <c r="AR27" i="4"/>
  <c r="AV27" i="4" s="1"/>
  <c r="AW27" i="4" s="1"/>
  <c r="BM93" i="4"/>
  <c r="BW93" i="4" s="1"/>
  <c r="CE93" i="4"/>
  <c r="CL93" i="4" s="1"/>
  <c r="CF93" i="4"/>
  <c r="BB53" i="4"/>
  <c r="CE89" i="4"/>
  <c r="CL89" i="4" s="1"/>
  <c r="CF89" i="4"/>
  <c r="BM89" i="4"/>
  <c r="BW89" i="4" s="1"/>
  <c r="BM43" i="4"/>
  <c r="BO43" i="4" s="1"/>
  <c r="CE43" i="4"/>
  <c r="CL43" i="4" s="1"/>
  <c r="CF43" i="4"/>
  <c r="BM39" i="4"/>
  <c r="BN39" i="4" s="1"/>
  <c r="CF39" i="4"/>
  <c r="CE39" i="4"/>
  <c r="CL39" i="4" s="1"/>
  <c r="BB94" i="4"/>
  <c r="BM46" i="4"/>
  <c r="BX46" i="4" s="1"/>
  <c r="CF46" i="4"/>
  <c r="CE46" i="4"/>
  <c r="CL46" i="4" s="1"/>
  <c r="BM58" i="4"/>
  <c r="BX58" i="4" s="1"/>
  <c r="CE58" i="4"/>
  <c r="CL58" i="4" s="1"/>
  <c r="CF58" i="4"/>
  <c r="CE44" i="4"/>
  <c r="CL44" i="4" s="1"/>
  <c r="CF44" i="4"/>
  <c r="BM44" i="4"/>
  <c r="BO44" i="4" s="1"/>
  <c r="CE48" i="4"/>
  <c r="CL48" i="4" s="1"/>
  <c r="BM48" i="4"/>
  <c r="BN48" i="4" s="1"/>
  <c r="CF48" i="4"/>
  <c r="BM69" i="4"/>
  <c r="BW69" i="4" s="1"/>
  <c r="CE69" i="4"/>
  <c r="CL69" i="4" s="1"/>
  <c r="CF69" i="4"/>
  <c r="CE45" i="4"/>
  <c r="CL45" i="4" s="1"/>
  <c r="BM45" i="4"/>
  <c r="BO45" i="4" s="1"/>
  <c r="CF45" i="4"/>
  <c r="BM97" i="4"/>
  <c r="BX97" i="4" s="1"/>
  <c r="CF97" i="4"/>
  <c r="CE97" i="4"/>
  <c r="CL97" i="4" s="1"/>
  <c r="BM75" i="4"/>
  <c r="BN75" i="4" s="1"/>
  <c r="CF75" i="4"/>
  <c r="CE75" i="4"/>
  <c r="CL75" i="4" s="1"/>
  <c r="BB57" i="4"/>
  <c r="BB63" i="4"/>
  <c r="BB70" i="4"/>
  <c r="BB68" i="4"/>
  <c r="BM88" i="4"/>
  <c r="BO88" i="4" s="1"/>
  <c r="CF88" i="4"/>
  <c r="CE88" i="4"/>
  <c r="CL88" i="4" s="1"/>
  <c r="BM64" i="4"/>
  <c r="BO64" i="4" s="1"/>
  <c r="CE64" i="4"/>
  <c r="CL64" i="4" s="1"/>
  <c r="CF64" i="4"/>
  <c r="BB48" i="4"/>
  <c r="CE81" i="4"/>
  <c r="CL81" i="4" s="1"/>
  <c r="BM81" i="4"/>
  <c r="BW81" i="4" s="1"/>
  <c r="CF81" i="4"/>
  <c r="BM71" i="4"/>
  <c r="BN71" i="4" s="1"/>
  <c r="CF71" i="4"/>
  <c r="CE71" i="4"/>
  <c r="CL71" i="4" s="1"/>
  <c r="AT21" i="4"/>
  <c r="AU21" i="4" s="1"/>
  <c r="AV26" i="4"/>
  <c r="AW26" i="4" s="1"/>
  <c r="BB69" i="4"/>
  <c r="CE83" i="4"/>
  <c r="CL83" i="4" s="1"/>
  <c r="BM83" i="4"/>
  <c r="BO83" i="4" s="1"/>
  <c r="CF83" i="4"/>
  <c r="BB75" i="4"/>
  <c r="BM65" i="4"/>
  <c r="BO65" i="4" s="1"/>
  <c r="CF65" i="4"/>
  <c r="CE65" i="4"/>
  <c r="CL65" i="4" s="1"/>
  <c r="BB43" i="4"/>
  <c r="BM79" i="4"/>
  <c r="BN79" i="4" s="1"/>
  <c r="CE79" i="4"/>
  <c r="CL79" i="4" s="1"/>
  <c r="CF79" i="4"/>
  <c r="BB39" i="4"/>
  <c r="CE86" i="4"/>
  <c r="CL86" i="4" s="1"/>
  <c r="BM86" i="4"/>
  <c r="BX86" i="4" s="1"/>
  <c r="CF86" i="4"/>
  <c r="BB46" i="4"/>
  <c r="BM82" i="4"/>
  <c r="BW82" i="4" s="1"/>
  <c r="CE82" i="4"/>
  <c r="CL82" i="4" s="1"/>
  <c r="CF82" i="4"/>
  <c r="CE68" i="4"/>
  <c r="CL68" i="4" s="1"/>
  <c r="CF68" i="4"/>
  <c r="BM68" i="4"/>
  <c r="BN68" i="4" s="1"/>
  <c r="CF52" i="4"/>
  <c r="BM52" i="4"/>
  <c r="BX52" i="4" s="1"/>
  <c r="CE52" i="4"/>
  <c r="CL52" i="4" s="1"/>
  <c r="BB88" i="4"/>
  <c r="BB64" i="4"/>
  <c r="BB40" i="4"/>
  <c r="BB37" i="4"/>
  <c r="AS31" i="4"/>
  <c r="AX31" i="4"/>
  <c r="BM85" i="4"/>
  <c r="BN85" i="4" s="1"/>
  <c r="CE85" i="4"/>
  <c r="CL85" i="4" s="1"/>
  <c r="CF85" i="4"/>
  <c r="BM61" i="4"/>
  <c r="BN61" i="4" s="1"/>
  <c r="CF61" i="4"/>
  <c r="CE61" i="4"/>
  <c r="CL61" i="4" s="1"/>
  <c r="BB65" i="4"/>
  <c r="BM51" i="4"/>
  <c r="BW51" i="4" s="1"/>
  <c r="CE51" i="4"/>
  <c r="CL51" i="4" s="1"/>
  <c r="CF51" i="4"/>
  <c r="BB79" i="4"/>
  <c r="BM55" i="4"/>
  <c r="BN55" i="4" s="1"/>
  <c r="CE55" i="4"/>
  <c r="CL55" i="4" s="1"/>
  <c r="CF55" i="4"/>
  <c r="BB86" i="4"/>
  <c r="BM62" i="4"/>
  <c r="BX62" i="4" s="1"/>
  <c r="CF62" i="4"/>
  <c r="CE62" i="4"/>
  <c r="CL62" i="4" s="1"/>
  <c r="CF92" i="4"/>
  <c r="BM92" i="4"/>
  <c r="BW92" i="4" s="1"/>
  <c r="CE92" i="4"/>
  <c r="CL92" i="4" s="1"/>
  <c r="BB76" i="4"/>
  <c r="CE66" i="4"/>
  <c r="CL66" i="4" s="1"/>
  <c r="BM66" i="4"/>
  <c r="BN66" i="4" s="1"/>
  <c r="CF66" i="4"/>
  <c r="BB52" i="4"/>
  <c r="BM42" i="4"/>
  <c r="BX42" i="4" s="1"/>
  <c r="CF42" i="4"/>
  <c r="CE42" i="4"/>
  <c r="CL42" i="4" s="1"/>
  <c r="AX27" i="4"/>
  <c r="BM77" i="4"/>
  <c r="BN77" i="4" s="1"/>
  <c r="CF77" i="4"/>
  <c r="CE77" i="4"/>
  <c r="CL77" i="4" s="1"/>
  <c r="CE91" i="4"/>
  <c r="CL91" i="4" s="1"/>
  <c r="BM91" i="4"/>
  <c r="BO91" i="4" s="1"/>
  <c r="CF91" i="4"/>
  <c r="BM49" i="4"/>
  <c r="BN49" i="4" s="1"/>
  <c r="CF49" i="4"/>
  <c r="CE49" i="4"/>
  <c r="CL49" i="4" s="1"/>
  <c r="BM47" i="4"/>
  <c r="BN47" i="4" s="1"/>
  <c r="CE47" i="4"/>
  <c r="CL47" i="4" s="1"/>
  <c r="CF47" i="4"/>
  <c r="BM37" i="4"/>
  <c r="BO37" i="4" s="1"/>
  <c r="CE37" i="4"/>
  <c r="CL37" i="4" s="1"/>
  <c r="CF37" i="4"/>
  <c r="BM73" i="4"/>
  <c r="BN73" i="4" s="1"/>
  <c r="CE73" i="4"/>
  <c r="CL73" i="4" s="1"/>
  <c r="CF73" i="4"/>
  <c r="CE59" i="4"/>
  <c r="CL59" i="4" s="1"/>
  <c r="CF59" i="4"/>
  <c r="BM59" i="4"/>
  <c r="BX59" i="4" s="1"/>
  <c r="BM41" i="4"/>
  <c r="BO41" i="4" s="1"/>
  <c r="CF41" i="4"/>
  <c r="CE41" i="4"/>
  <c r="CL41" i="4" s="1"/>
  <c r="CE95" i="4"/>
  <c r="CL95" i="4" s="1"/>
  <c r="CF95" i="4"/>
  <c r="BM95" i="4"/>
  <c r="BN95" i="4" s="1"/>
  <c r="BM78" i="4"/>
  <c r="BN78" i="4" s="1"/>
  <c r="CE78" i="4"/>
  <c r="CL78" i="4" s="1"/>
  <c r="CF78" i="4"/>
  <c r="BM38" i="4"/>
  <c r="BO38" i="4" s="1"/>
  <c r="CE38" i="4"/>
  <c r="CL38" i="4" s="1"/>
  <c r="CF38" i="4"/>
  <c r="BB36" i="4"/>
  <c r="BM80" i="4"/>
  <c r="BX80" i="4" s="1"/>
  <c r="CE80" i="4"/>
  <c r="CL80" i="4" s="1"/>
  <c r="CF80" i="4"/>
  <c r="BM56" i="4"/>
  <c r="BN56" i="4" s="1"/>
  <c r="CF56" i="4"/>
  <c r="CE56" i="4"/>
  <c r="CL56" i="4" s="1"/>
  <c r="BM40" i="4"/>
  <c r="BX40" i="4" s="1"/>
  <c r="CE40" i="4"/>
  <c r="CL40" i="4" s="1"/>
  <c r="CF40" i="4"/>
  <c r="AR20" i="4"/>
  <c r="AX20" i="4" s="1"/>
  <c r="F163" i="4"/>
  <c r="F164" i="4" s="1"/>
  <c r="H164" i="4" s="1"/>
  <c r="AX26" i="4"/>
  <c r="AX28" i="4"/>
  <c r="AT23" i="4"/>
  <c r="AS26" i="4"/>
  <c r="AT33" i="4"/>
  <c r="AU33" i="4" s="1"/>
  <c r="AT25" i="4"/>
  <c r="AU25" i="4" s="1"/>
  <c r="AN18" i="4"/>
  <c r="AL18" i="4"/>
  <c r="AV28" i="4"/>
  <c r="AW28" i="4" s="1"/>
  <c r="AS28" i="4"/>
  <c r="AR23" i="4"/>
  <c r="AR25" i="4"/>
  <c r="AT29" i="4"/>
  <c r="AS29" i="4" s="1"/>
  <c r="AR33" i="4"/>
  <c r="B17" i="4"/>
  <c r="H155" i="4"/>
  <c r="AC85" i="4"/>
  <c r="B85" i="4" s="1"/>
  <c r="AC79" i="4"/>
  <c r="B79" i="4" s="1"/>
  <c r="AC99" i="4"/>
  <c r="B99" i="4" s="1"/>
  <c r="AC37" i="4"/>
  <c r="B37" i="4" s="1"/>
  <c r="AC73" i="4"/>
  <c r="B73" i="4" s="1"/>
  <c r="AC91" i="4"/>
  <c r="B91" i="4" s="1"/>
  <c r="AC35" i="4"/>
  <c r="B35" i="4" s="1"/>
  <c r="AC82" i="4"/>
  <c r="B82" i="4" s="1"/>
  <c r="AC97" i="4"/>
  <c r="B97" i="4" s="1"/>
  <c r="AC23" i="4"/>
  <c r="B23" i="4" s="1"/>
  <c r="AC26" i="4"/>
  <c r="B26" i="4" s="1"/>
  <c r="AC24" i="4"/>
  <c r="B24" i="4" s="1"/>
  <c r="AC65" i="4"/>
  <c r="B65" i="4" s="1"/>
  <c r="AC67" i="4"/>
  <c r="B67" i="4" s="1"/>
  <c r="AC64" i="4"/>
  <c r="B64" i="4" s="1"/>
  <c r="AC72" i="4"/>
  <c r="B72" i="4" s="1"/>
  <c r="AC45" i="4"/>
  <c r="B45" i="4" s="1"/>
  <c r="AC62" i="4"/>
  <c r="B62" i="4" s="1"/>
  <c r="AC54" i="4"/>
  <c r="B54" i="4" s="1"/>
  <c r="AC38" i="4"/>
  <c r="B38" i="4" s="1"/>
  <c r="AC88" i="4"/>
  <c r="B88" i="4" s="1"/>
  <c r="AC56" i="4"/>
  <c r="B56" i="4" s="1"/>
  <c r="AC61" i="4"/>
  <c r="B61" i="4" s="1"/>
  <c r="AC86" i="4"/>
  <c r="B86" i="4" s="1"/>
  <c r="AC33" i="4"/>
  <c r="B33" i="4" s="1"/>
  <c r="AC68" i="4"/>
  <c r="B68" i="4" s="1"/>
  <c r="AC77" i="4"/>
  <c r="B77" i="4" s="1"/>
  <c r="AC49" i="4"/>
  <c r="B49" i="4" s="1"/>
  <c r="AC90" i="4"/>
  <c r="B90" i="4" s="1"/>
  <c r="AC92" i="4"/>
  <c r="B92" i="4" s="1"/>
  <c r="AC40" i="4"/>
  <c r="B40" i="4" s="1"/>
  <c r="AC39" i="4"/>
  <c r="B39" i="4" s="1"/>
  <c r="AC98" i="4"/>
  <c r="B98" i="4" s="1"/>
  <c r="AC60" i="4"/>
  <c r="B60" i="4" s="1"/>
  <c r="AC42" i="4"/>
  <c r="B42" i="4" s="1"/>
  <c r="AC21" i="4"/>
  <c r="B21" i="4" s="1"/>
  <c r="AC53" i="4"/>
  <c r="B53" i="4" s="1"/>
  <c r="AC46" i="4"/>
  <c r="B46" i="4" s="1"/>
  <c r="AC34" i="4"/>
  <c r="B34" i="4" s="1"/>
  <c r="AC84" i="4"/>
  <c r="B84" i="4" s="1"/>
  <c r="AC59" i="4"/>
  <c r="B59" i="4" s="1"/>
  <c r="AC89" i="4"/>
  <c r="B89" i="4" s="1"/>
  <c r="AC69" i="4"/>
  <c r="B69" i="4" s="1"/>
  <c r="AC83" i="4"/>
  <c r="B83" i="4" s="1"/>
  <c r="AC44" i="4"/>
  <c r="B44" i="4" s="1"/>
  <c r="AC93" i="4"/>
  <c r="B93" i="4" s="1"/>
  <c r="AC75" i="4"/>
  <c r="B75" i="4" s="1"/>
  <c r="AC32" i="4"/>
  <c r="B32" i="4" s="1"/>
  <c r="AC27" i="4"/>
  <c r="B27" i="4" s="1"/>
  <c r="AC57" i="4"/>
  <c r="B57" i="4" s="1"/>
  <c r="AC52" i="4"/>
  <c r="B52" i="4" s="1"/>
  <c r="AC71" i="4"/>
  <c r="B71" i="4" s="1"/>
  <c r="AC48" i="4"/>
  <c r="B48" i="4" s="1"/>
  <c r="AC43" i="4"/>
  <c r="B43" i="4" s="1"/>
  <c r="AC31" i="4"/>
  <c r="B31" i="4" s="1"/>
  <c r="G15" i="4"/>
  <c r="AC81" i="4"/>
  <c r="B81" i="4" s="1"/>
  <c r="AC25" i="4"/>
  <c r="B25" i="4" s="1"/>
  <c r="AC58" i="4"/>
  <c r="B58" i="4" s="1"/>
  <c r="AC36" i="4"/>
  <c r="B36" i="4" s="1"/>
  <c r="AC94" i="4"/>
  <c r="B94" i="4" s="1"/>
  <c r="AC29" i="4"/>
  <c r="B29" i="4" s="1"/>
  <c r="AC55" i="4"/>
  <c r="B55" i="4" s="1"/>
  <c r="AC30" i="4"/>
  <c r="B30" i="4" s="1"/>
  <c r="AC70" i="4"/>
  <c r="B70" i="4" s="1"/>
  <c r="AC20" i="4"/>
  <c r="B20" i="4" s="1"/>
  <c r="AC41" i="4"/>
  <c r="B41" i="4" s="1"/>
  <c r="AC22" i="4"/>
  <c r="B22" i="4" s="1"/>
  <c r="AC95" i="4"/>
  <c r="B95" i="4" s="1"/>
  <c r="AC78" i="4"/>
  <c r="B78" i="4" s="1"/>
  <c r="AC28" i="4"/>
  <c r="B28" i="4" s="1"/>
  <c r="AC74" i="4"/>
  <c r="B74" i="4" s="1"/>
  <c r="AC80" i="4"/>
  <c r="B80" i="4" s="1"/>
  <c r="AC96" i="4"/>
  <c r="B96" i="4" s="1"/>
  <c r="AC66" i="4"/>
  <c r="B66" i="4" s="1"/>
  <c r="AC51" i="4"/>
  <c r="B51" i="4" s="1"/>
  <c r="AC50" i="4"/>
  <c r="B50" i="4" s="1"/>
  <c r="AC87" i="4"/>
  <c r="B87" i="4" s="1"/>
  <c r="AC63" i="4"/>
  <c r="B63" i="4" s="1"/>
  <c r="AC76" i="4"/>
  <c r="B76" i="4" s="1"/>
  <c r="AC47" i="4"/>
  <c r="B47" i="4" s="1"/>
  <c r="AV34" i="4" l="1"/>
  <c r="AW34" i="4" s="1"/>
  <c r="AM30" i="4"/>
  <c r="AX34" i="4"/>
  <c r="AV22" i="4"/>
  <c r="AW22" i="4" s="1"/>
  <c r="BY99" i="4"/>
  <c r="AQ15" i="4"/>
  <c r="X4" i="4"/>
  <c r="C13" i="19"/>
  <c r="BN46" i="4"/>
  <c r="BW46" i="4"/>
  <c r="BY46" i="4" s="1"/>
  <c r="BN69" i="4"/>
  <c r="BO46" i="4"/>
  <c r="BN74" i="4"/>
  <c r="BN36" i="4"/>
  <c r="BP36" i="4" s="1"/>
  <c r="BN76" i="4"/>
  <c r="BP76" i="4" s="1"/>
  <c r="C16" i="5"/>
  <c r="BX36" i="4"/>
  <c r="AS27" i="4"/>
  <c r="AM27" i="4" s="1"/>
  <c r="BC27" i="4" s="1"/>
  <c r="AX22" i="4"/>
  <c r="BO95" i="4"/>
  <c r="BP95" i="4" s="1"/>
  <c r="BO81" i="4"/>
  <c r="AS22" i="4"/>
  <c r="BW95" i="4"/>
  <c r="BW49" i="4"/>
  <c r="AV24" i="4"/>
  <c r="AW24" i="4" s="1"/>
  <c r="BW73" i="4"/>
  <c r="BW36" i="4"/>
  <c r="AS24" i="4"/>
  <c r="BX81" i="4"/>
  <c r="BY81" i="4" s="1"/>
  <c r="BX95" i="4"/>
  <c r="BO59" i="4"/>
  <c r="AV32" i="4"/>
  <c r="AW32" i="4" s="1"/>
  <c r="AS32" i="4"/>
  <c r="BX73" i="4"/>
  <c r="BO58" i="4"/>
  <c r="BX67" i="4"/>
  <c r="BY67" i="4" s="1"/>
  <c r="AX23" i="4"/>
  <c r="BX56" i="4"/>
  <c r="BW97" i="4"/>
  <c r="BY97" i="4" s="1"/>
  <c r="BO69" i="4"/>
  <c r="BW35" i="4"/>
  <c r="BW56" i="4"/>
  <c r="BO73" i="4"/>
  <c r="BP73" i="4" s="1"/>
  <c r="BO97" i="4"/>
  <c r="BO50" i="4"/>
  <c r="BP50" i="4" s="1"/>
  <c r="BW55" i="4"/>
  <c r="BN97" i="4"/>
  <c r="BW98" i="4"/>
  <c r="AV20" i="4"/>
  <c r="AW20" i="4" s="1"/>
  <c r="BN59" i="4"/>
  <c r="BX47" i="4"/>
  <c r="BX66" i="4"/>
  <c r="BX85" i="4"/>
  <c r="BW39" i="4"/>
  <c r="BN93" i="4"/>
  <c r="BW59" i="4"/>
  <c r="BY59" i="4" s="1"/>
  <c r="BW37" i="4"/>
  <c r="BO49" i="4"/>
  <c r="BP49" i="4" s="1"/>
  <c r="BW66" i="4"/>
  <c r="BO89" i="4"/>
  <c r="BX76" i="4"/>
  <c r="BW85" i="4"/>
  <c r="BN65" i="4"/>
  <c r="BP65" i="4" s="1"/>
  <c r="BN58" i="4"/>
  <c r="BW94" i="4"/>
  <c r="BN53" i="4"/>
  <c r="BO79" i="4"/>
  <c r="BP79" i="4" s="1"/>
  <c r="BX61" i="4"/>
  <c r="BN37" i="4"/>
  <c r="BP37" i="4" s="1"/>
  <c r="BW79" i="4"/>
  <c r="BW58" i="4"/>
  <c r="BY58" i="4" s="1"/>
  <c r="BX89" i="4"/>
  <c r="BY89" i="4" s="1"/>
  <c r="BN64" i="4"/>
  <c r="BP64" i="4" s="1"/>
  <c r="BX69" i="4"/>
  <c r="BY69" i="4" s="1"/>
  <c r="BO96" i="4"/>
  <c r="BP96" i="4" s="1"/>
  <c r="BW70" i="4"/>
  <c r="BN84" i="4"/>
  <c r="BW90" i="4"/>
  <c r="BW42" i="4"/>
  <c r="BY42" i="4" s="1"/>
  <c r="BO78" i="4"/>
  <c r="BP78" i="4" s="1"/>
  <c r="BN42" i="4"/>
  <c r="BO55" i="4"/>
  <c r="BP55" i="4" s="1"/>
  <c r="BN51" i="4"/>
  <c r="BW52" i="4"/>
  <c r="BY52" i="4" s="1"/>
  <c r="BN81" i="4"/>
  <c r="BX44" i="4"/>
  <c r="BO60" i="4"/>
  <c r="BP60" i="4" s="1"/>
  <c r="BX70" i="4"/>
  <c r="BX94" i="4"/>
  <c r="BO74" i="4"/>
  <c r="BN72" i="4"/>
  <c r="BP72" i="4" s="1"/>
  <c r="AM26" i="4"/>
  <c r="BC26" i="4" s="1"/>
  <c r="BO56" i="4"/>
  <c r="BP56" i="4" s="1"/>
  <c r="BW38" i="4"/>
  <c r="BW78" i="4"/>
  <c r="BW77" i="4"/>
  <c r="BX51" i="4"/>
  <c r="BY51" i="4" s="1"/>
  <c r="BW61" i="4"/>
  <c r="BX48" i="4"/>
  <c r="BX60" i="4"/>
  <c r="BN70" i="4"/>
  <c r="BP70" i="4" s="1"/>
  <c r="BO84" i="4"/>
  <c r="BW54" i="4"/>
  <c r="BX72" i="4"/>
  <c r="BX54" i="4"/>
  <c r="BN91" i="4"/>
  <c r="BP91" i="4" s="1"/>
  <c r="BX55" i="4"/>
  <c r="AM31" i="4"/>
  <c r="BC31" i="4" s="1"/>
  <c r="BN52" i="4"/>
  <c r="BO68" i="4"/>
  <c r="BP68" i="4" s="1"/>
  <c r="BX64" i="4"/>
  <c r="BX96" i="4"/>
  <c r="BW60" i="4"/>
  <c r="BW53" i="4"/>
  <c r="BY53" i="4" s="1"/>
  <c r="BX74" i="4"/>
  <c r="BY74" i="4" s="1"/>
  <c r="BX35" i="4"/>
  <c r="BW72" i="4"/>
  <c r="BX41" i="4"/>
  <c r="BW91" i="4"/>
  <c r="BO47" i="4"/>
  <c r="BP47" i="4" s="1"/>
  <c r="BO52" i="4"/>
  <c r="BX83" i="4"/>
  <c r="BW64" i="4"/>
  <c r="BX45" i="4"/>
  <c r="BW96" i="4"/>
  <c r="BO94" i="4"/>
  <c r="BP94" i="4" s="1"/>
  <c r="BX84" i="4"/>
  <c r="BY84" i="4" s="1"/>
  <c r="BX78" i="4"/>
  <c r="BN38" i="4"/>
  <c r="BP38" i="4" s="1"/>
  <c r="BN41" i="4"/>
  <c r="BP41" i="4" s="1"/>
  <c r="BX37" i="4"/>
  <c r="BW47" i="4"/>
  <c r="BX91" i="4"/>
  <c r="BO85" i="4"/>
  <c r="BP85" i="4" s="1"/>
  <c r="BX68" i="4"/>
  <c r="BW65" i="4"/>
  <c r="BO63" i="4"/>
  <c r="BO54" i="4"/>
  <c r="BP54" i="4" s="1"/>
  <c r="BN35" i="4"/>
  <c r="BP35" i="4" s="1"/>
  <c r="BW50" i="4"/>
  <c r="BW76" i="4"/>
  <c r="BY76" i="4" s="1"/>
  <c r="BX38" i="4"/>
  <c r="BN83" i="4"/>
  <c r="BP83" i="4" s="1"/>
  <c r="AM28" i="4"/>
  <c r="BC28" i="4" s="1"/>
  <c r="BO42" i="4"/>
  <c r="BO61" i="4"/>
  <c r="BP61" i="4" s="1"/>
  <c r="BW68" i="4"/>
  <c r="AV21" i="4"/>
  <c r="AW21" i="4" s="1"/>
  <c r="AS21" i="4"/>
  <c r="BX88" i="4"/>
  <c r="BW43" i="4"/>
  <c r="BN67" i="4"/>
  <c r="BW41" i="4"/>
  <c r="BX77" i="4"/>
  <c r="BN92" i="4"/>
  <c r="BO62" i="4"/>
  <c r="BW88" i="4"/>
  <c r="BW63" i="4"/>
  <c r="BY63" i="4" s="1"/>
  <c r="BW40" i="4"/>
  <c r="BY40" i="4" s="1"/>
  <c r="BW80" i="4"/>
  <c r="BY80" i="4" s="1"/>
  <c r="BW86" i="4"/>
  <c r="BY86" i="4" s="1"/>
  <c r="BX71" i="4"/>
  <c r="BX87" i="4"/>
  <c r="AS20" i="4"/>
  <c r="BN80" i="4"/>
  <c r="BX49" i="4"/>
  <c r="BO66" i="4"/>
  <c r="BP66" i="4" s="1"/>
  <c r="BO92" i="4"/>
  <c r="BN62" i="4"/>
  <c r="BO51" i="4"/>
  <c r="BN82" i="4"/>
  <c r="BX79" i="4"/>
  <c r="BX65" i="4"/>
  <c r="BW83" i="4"/>
  <c r="BO75" i="4"/>
  <c r="BP75" i="4" s="1"/>
  <c r="BO48" i="4"/>
  <c r="BP48" i="4" s="1"/>
  <c r="BN44" i="4"/>
  <c r="BP44" i="4" s="1"/>
  <c r="BO39" i="4"/>
  <c r="BP39" i="4" s="1"/>
  <c r="BN43" i="4"/>
  <c r="BP43" i="4" s="1"/>
  <c r="BN89" i="4"/>
  <c r="BO93" i="4"/>
  <c r="BX98" i="4"/>
  <c r="BN63" i="4"/>
  <c r="BO57" i="4"/>
  <c r="BX50" i="4"/>
  <c r="BX90" i="4"/>
  <c r="BN40" i="4"/>
  <c r="BO80" i="4"/>
  <c r="BO77" i="4"/>
  <c r="BP77" i="4" s="1"/>
  <c r="BX92" i="4"/>
  <c r="BY92" i="4" s="1"/>
  <c r="BW62" i="4"/>
  <c r="BY62" i="4" s="1"/>
  <c r="BO82" i="4"/>
  <c r="BW71" i="4"/>
  <c r="BN88" i="4"/>
  <c r="BP88" i="4" s="1"/>
  <c r="BX75" i="4"/>
  <c r="BW45" i="4"/>
  <c r="BW48" i="4"/>
  <c r="BW44" i="4"/>
  <c r="BX93" i="4"/>
  <c r="BY93" i="4" s="1"/>
  <c r="BW87" i="4"/>
  <c r="BN57" i="4"/>
  <c r="BO53" i="4"/>
  <c r="BO86" i="4"/>
  <c r="BO71" i="4"/>
  <c r="BP71" i="4" s="1"/>
  <c r="BO87" i="4"/>
  <c r="BP87" i="4" s="1"/>
  <c r="BX82" i="4"/>
  <c r="BY82" i="4" s="1"/>
  <c r="BN86" i="4"/>
  <c r="BW75" i="4"/>
  <c r="BN45" i="4"/>
  <c r="BP45" i="4" s="1"/>
  <c r="BX39" i="4"/>
  <c r="BX43" i="4"/>
  <c r="BN98" i="4"/>
  <c r="BP98" i="4" s="1"/>
  <c r="BX57" i="4"/>
  <c r="BY57" i="4" s="1"/>
  <c r="BO67" i="4"/>
  <c r="BO90" i="4"/>
  <c r="BP90" i="4" s="1"/>
  <c r="BO40" i="4"/>
  <c r="AX21" i="4"/>
  <c r="AU29" i="4"/>
  <c r="AX29" i="4"/>
  <c r="AV25" i="4"/>
  <c r="AW25" i="4" s="1"/>
  <c r="AS25" i="4"/>
  <c r="AV23" i="4"/>
  <c r="AX33" i="4"/>
  <c r="AV29" i="4"/>
  <c r="AW29" i="4" s="1"/>
  <c r="AS23" i="4"/>
  <c r="AU23" i="4"/>
  <c r="AT18" i="4"/>
  <c r="AV33" i="4"/>
  <c r="AW33" i="4" s="1"/>
  <c r="AS33" i="4"/>
  <c r="AR18" i="4"/>
  <c r="AX25" i="4"/>
  <c r="W8" i="4"/>
  <c r="M158" i="4"/>
  <c r="G158" i="4"/>
  <c r="I158" i="4"/>
  <c r="K158" i="4"/>
  <c r="H158" i="4"/>
  <c r="W6" i="4"/>
  <c r="J158" i="4"/>
  <c r="F158" i="4"/>
  <c r="X6" i="4"/>
  <c r="Y6" i="4"/>
  <c r="Y8" i="4" s="1"/>
  <c r="X8" i="4"/>
  <c r="L158" i="4"/>
  <c r="X13" i="4"/>
  <c r="BA30" i="4" l="1"/>
  <c r="BC30" i="4"/>
  <c r="AM34" i="4"/>
  <c r="BC34" i="4" s="1"/>
  <c r="AY30" i="4"/>
  <c r="AM32" i="4"/>
  <c r="BA31" i="4"/>
  <c r="AY31" i="4"/>
  <c r="AY26" i="4"/>
  <c r="AZ26" i="4" s="1"/>
  <c r="BA26" i="4"/>
  <c r="BA27" i="4"/>
  <c r="AY27" i="4"/>
  <c r="AZ27" i="4" s="1"/>
  <c r="AY28" i="4"/>
  <c r="AZ28" i="4" s="1"/>
  <c r="BA28" i="4"/>
  <c r="BP81" i="4"/>
  <c r="AM22" i="4"/>
  <c r="BC22" i="4" s="1"/>
  <c r="BP46" i="4"/>
  <c r="C16" i="19"/>
  <c r="BP74" i="4"/>
  <c r="BP69" i="4"/>
  <c r="C17" i="5"/>
  <c r="BP93" i="4"/>
  <c r="BY73" i="4"/>
  <c r="BP59" i="4"/>
  <c r="BY36" i="4"/>
  <c r="BY95" i="4"/>
  <c r="BY49" i="4"/>
  <c r="BP84" i="4"/>
  <c r="BY85" i="4"/>
  <c r="AM24" i="4"/>
  <c r="BC24" i="4" s="1"/>
  <c r="BY56" i="4"/>
  <c r="BY47" i="4"/>
  <c r="BY90" i="4"/>
  <c r="BY91" i="4"/>
  <c r="BY79" i="4"/>
  <c r="BY39" i="4"/>
  <c r="BY44" i="4"/>
  <c r="BY55" i="4"/>
  <c r="BY66" i="4"/>
  <c r="BY48" i="4"/>
  <c r="BP89" i="4"/>
  <c r="BP97" i="4"/>
  <c r="BP51" i="4"/>
  <c r="BP53" i="4"/>
  <c r="BY70" i="4"/>
  <c r="BP58" i="4"/>
  <c r="BY83" i="4"/>
  <c r="BP63" i="4"/>
  <c r="BY98" i="4"/>
  <c r="AM20" i="4"/>
  <c r="BC20" i="4" s="1"/>
  <c r="BY35" i="4"/>
  <c r="BY78" i="4"/>
  <c r="BY54" i="4"/>
  <c r="BY75" i="4"/>
  <c r="BP42" i="4"/>
  <c r="BY38" i="4"/>
  <c r="BY64" i="4"/>
  <c r="BY41" i="4"/>
  <c r="BY94" i="4"/>
  <c r="BY77" i="4"/>
  <c r="BY61" i="4"/>
  <c r="BY65" i="4"/>
  <c r="BY96" i="4"/>
  <c r="BP52" i="4"/>
  <c r="BY72" i="4"/>
  <c r="BY68" i="4"/>
  <c r="BY37" i="4"/>
  <c r="BY60" i="4"/>
  <c r="BP82" i="4"/>
  <c r="BY45" i="4"/>
  <c r="BY50" i="4"/>
  <c r="AM21" i="4"/>
  <c r="BC21" i="4" s="1"/>
  <c r="BY87" i="4"/>
  <c r="BP92" i="4"/>
  <c r="AM25" i="4"/>
  <c r="BC25" i="4" s="1"/>
  <c r="BP80" i="4"/>
  <c r="BY88" i="4"/>
  <c r="BP57" i="4"/>
  <c r="BP62" i="4"/>
  <c r="AV18" i="4"/>
  <c r="AM29" i="4"/>
  <c r="BC29" i="4" s="1"/>
  <c r="BY71" i="4"/>
  <c r="BP67" i="4"/>
  <c r="AU18" i="4"/>
  <c r="AR15" i="4" s="1"/>
  <c r="BP40" i="4"/>
  <c r="BY43" i="4"/>
  <c r="AX18" i="4"/>
  <c r="BP86" i="4"/>
  <c r="AW23" i="4"/>
  <c r="AM33" i="4"/>
  <c r="BC33" i="4" s="1"/>
  <c r="BB30" i="4" l="1"/>
  <c r="BA32" i="4"/>
  <c r="BC32" i="4"/>
  <c r="AY32" i="4"/>
  <c r="AY34" i="4"/>
  <c r="AZ34" i="4" s="1"/>
  <c r="BA34" i="4"/>
  <c r="BB34" i="4" s="1"/>
  <c r="BM26" i="4"/>
  <c r="AZ30" i="4"/>
  <c r="BM30" i="4"/>
  <c r="BM27" i="4"/>
  <c r="BB31" i="4"/>
  <c r="BB28" i="4"/>
  <c r="BA24" i="4"/>
  <c r="AY24" i="4"/>
  <c r="AZ24" i="4" s="1"/>
  <c r="AY33" i="4"/>
  <c r="BA33" i="4"/>
  <c r="AY25" i="4"/>
  <c r="AZ25" i="4" s="1"/>
  <c r="BA25" i="4"/>
  <c r="BA29" i="4"/>
  <c r="AY29" i="4"/>
  <c r="AZ29" i="4" s="1"/>
  <c r="AY22" i="4"/>
  <c r="BM22" i="4" s="1"/>
  <c r="BA22" i="4"/>
  <c r="BB22" i="4" s="1"/>
  <c r="BA20" i="4"/>
  <c r="AY20" i="4"/>
  <c r="AZ20" i="4" s="1"/>
  <c r="AY21" i="4"/>
  <c r="AZ21" i="4" s="1"/>
  <c r="BA21" i="4"/>
  <c r="C18" i="19"/>
  <c r="C20" i="19" s="1"/>
  <c r="C22" i="19" s="1"/>
  <c r="C24" i="19" s="1"/>
  <c r="C26" i="19" s="1"/>
  <c r="C28" i="19" s="1"/>
  <c r="C31" i="19" s="1"/>
  <c r="BB27" i="4"/>
  <c r="C18" i="5"/>
  <c r="C20" i="5" s="1"/>
  <c r="BM28" i="4"/>
  <c r="BM32" i="4"/>
  <c r="AZ32" i="4"/>
  <c r="BB26" i="4"/>
  <c r="AZ31" i="4"/>
  <c r="BM31" i="4"/>
  <c r="AW18" i="4"/>
  <c r="AV15" i="4" s="1"/>
  <c r="AM23" i="4"/>
  <c r="BC23" i="4" s="1"/>
  <c r="BB32" i="4" l="1"/>
  <c r="BM34" i="4"/>
  <c r="BB33" i="4"/>
  <c r="BB25" i="4"/>
  <c r="BB29" i="4"/>
  <c r="BB24" i="4"/>
  <c r="BA23" i="4"/>
  <c r="AY23" i="4"/>
  <c r="BM24" i="4"/>
  <c r="AZ22" i="4"/>
  <c r="BB20" i="4"/>
  <c r="BM21" i="4"/>
  <c r="BM20" i="4"/>
  <c r="BN11" i="4" s="1"/>
  <c r="C33" i="19"/>
  <c r="C36" i="19" s="1"/>
  <c r="C63" i="19" s="1"/>
  <c r="BB21" i="4"/>
  <c r="BM25" i="4"/>
  <c r="C21" i="5"/>
  <c r="C22" i="5" s="1"/>
  <c r="C23" i="5" s="1"/>
  <c r="C24" i="5" s="1"/>
  <c r="BM29" i="4"/>
  <c r="BM33" i="4"/>
  <c r="AZ33" i="4"/>
  <c r="AM18" i="4"/>
  <c r="AM15" i="4" s="1"/>
  <c r="AY15" i="4" s="1"/>
  <c r="C25" i="5" l="1"/>
  <c r="C26" i="5" s="1"/>
  <c r="C28" i="5" s="1"/>
  <c r="C29" i="5" s="1"/>
  <c r="C30" i="5" s="1"/>
  <c r="C31" i="5" s="1"/>
  <c r="C32" i="5" s="1"/>
  <c r="C33" i="5" s="1"/>
  <c r="C35" i="5" s="1"/>
  <c r="C36" i="5" s="1"/>
  <c r="C37" i="5" s="1"/>
  <c r="C38" i="5" s="1"/>
  <c r="C40" i="5" s="1"/>
  <c r="BB23" i="4"/>
  <c r="BA18" i="4"/>
  <c r="BA4" i="4" a="1"/>
  <c r="BA4" i="4" s="1"/>
  <c r="BA12" i="4" s="1"/>
  <c r="AZ23" i="4"/>
  <c r="BM23" i="4"/>
  <c r="AY18" i="4"/>
  <c r="C41" i="5" l="1"/>
  <c r="S23" i="4"/>
  <c r="BE23" i="4" s="1"/>
  <c r="U25" i="4"/>
  <c r="U33" i="4"/>
  <c r="S39" i="4"/>
  <c r="U60" i="4"/>
  <c r="U21" i="4"/>
  <c r="S62" i="4"/>
  <c r="S46" i="4"/>
  <c r="S71" i="4"/>
  <c r="U73" i="4"/>
  <c r="U51" i="4"/>
  <c r="S72" i="4"/>
  <c r="U50" i="4"/>
  <c r="U93" i="4"/>
  <c r="U85" i="4"/>
  <c r="S67" i="4"/>
  <c r="S95" i="4"/>
  <c r="S70" i="4"/>
  <c r="S93" i="4"/>
  <c r="T59" i="4"/>
  <c r="T98" i="4"/>
  <c r="T82" i="4"/>
  <c r="T73" i="4"/>
  <c r="T62" i="4"/>
  <c r="T58" i="4"/>
  <c r="T85" i="4"/>
  <c r="T39" i="4"/>
  <c r="S30" i="4"/>
  <c r="BE30" i="4" s="1"/>
  <c r="T36" i="4"/>
  <c r="U44" i="4"/>
  <c r="S58" i="4"/>
  <c r="S47" i="4"/>
  <c r="T61" i="4"/>
  <c r="T92" i="4"/>
  <c r="T91" i="4"/>
  <c r="T50" i="4"/>
  <c r="U31" i="4"/>
  <c r="S36" i="4"/>
  <c r="U20" i="4"/>
  <c r="U35" i="4"/>
  <c r="U38" i="4"/>
  <c r="U23" i="4"/>
  <c r="S52" i="4"/>
  <c r="U81" i="4"/>
  <c r="S74" i="4"/>
  <c r="U57" i="4"/>
  <c r="U78" i="4"/>
  <c r="S64" i="4"/>
  <c r="S94" i="4"/>
  <c r="S86" i="4"/>
  <c r="U71" i="4"/>
  <c r="U36" i="4"/>
  <c r="S76" i="4"/>
  <c r="S50" i="4"/>
  <c r="S96" i="4"/>
  <c r="T55" i="4"/>
  <c r="T57" i="4"/>
  <c r="T96" i="4"/>
  <c r="T60" i="4"/>
  <c r="T72" i="4"/>
  <c r="T35" i="4"/>
  <c r="T89" i="4"/>
  <c r="U56" i="4"/>
  <c r="U75" i="4"/>
  <c r="U70" i="4"/>
  <c r="S73" i="4"/>
  <c r="S68" i="4"/>
  <c r="T93" i="4"/>
  <c r="T37" i="4"/>
  <c r="T87" i="4"/>
  <c r="T94" i="4"/>
  <c r="U37" i="4"/>
  <c r="S37" i="4"/>
  <c r="U53" i="4"/>
  <c r="T75" i="4"/>
  <c r="T99" i="4"/>
  <c r="S38" i="4"/>
  <c r="U27" i="4"/>
  <c r="S42" i="4"/>
  <c r="S40" i="4"/>
  <c r="S51" i="4"/>
  <c r="S35" i="4"/>
  <c r="S63" i="4"/>
  <c r="U83" i="4"/>
  <c r="S77" i="4"/>
  <c r="S61" i="4"/>
  <c r="S91" i="4"/>
  <c r="U76" i="4"/>
  <c r="U68" i="4"/>
  <c r="U96" i="4"/>
  <c r="U74" i="4"/>
  <c r="S54" i="4"/>
  <c r="S87" i="4"/>
  <c r="U72" i="4"/>
  <c r="T53" i="4"/>
  <c r="T71" i="4"/>
  <c r="T80" i="4"/>
  <c r="T79" i="4"/>
  <c r="T51" i="4"/>
  <c r="T48" i="4"/>
  <c r="T47" i="4"/>
  <c r="S22" i="4"/>
  <c r="S44" i="4"/>
  <c r="U28" i="4"/>
  <c r="U43" i="4"/>
  <c r="U46" i="4"/>
  <c r="U55" i="4"/>
  <c r="U39" i="4"/>
  <c r="S49" i="4"/>
  <c r="S85" i="4"/>
  <c r="S80" i="4"/>
  <c r="U65" i="4"/>
  <c r="U95" i="4"/>
  <c r="S83" i="4"/>
  <c r="S75" i="4"/>
  <c r="U40" i="4"/>
  <c r="U77" i="4"/>
  <c r="U62" i="4"/>
  <c r="U97" i="4"/>
  <c r="S79" i="4"/>
  <c r="T74" i="4"/>
  <c r="T56" i="4"/>
  <c r="T95" i="4"/>
  <c r="T83" i="4"/>
  <c r="T64" i="4"/>
  <c r="T49" i="4"/>
  <c r="T42" i="4"/>
  <c r="T46" i="4"/>
  <c r="S31" i="4"/>
  <c r="S55" i="4"/>
  <c r="U30" i="4"/>
  <c r="CC30" i="4" s="1"/>
  <c r="S48" i="4"/>
  <c r="U42" i="4"/>
  <c r="S56" i="4"/>
  <c r="U67" i="4"/>
  <c r="S89" i="4"/>
  <c r="S84" i="4"/>
  <c r="T81" i="4"/>
  <c r="T45" i="4"/>
  <c r="U48" i="4"/>
  <c r="U29" i="4"/>
  <c r="S45" i="4"/>
  <c r="U52" i="4"/>
  <c r="S57" i="4"/>
  <c r="S41" i="4"/>
  <c r="S53" i="4"/>
  <c r="S88" i="4"/>
  <c r="U86" i="4"/>
  <c r="S66" i="4"/>
  <c r="S97" i="4"/>
  <c r="U87" i="4"/>
  <c r="U79" i="4"/>
  <c r="U49" i="4"/>
  <c r="S78" i="4"/>
  <c r="S65" i="4"/>
  <c r="S98" i="4"/>
  <c r="U89" i="4"/>
  <c r="T63" i="4"/>
  <c r="T77" i="4"/>
  <c r="T65" i="4"/>
  <c r="T66" i="4"/>
  <c r="T84" i="4"/>
  <c r="T69" i="4"/>
  <c r="T70" i="4"/>
  <c r="T38" i="4"/>
  <c r="S59" i="4"/>
  <c r="U94" i="4"/>
  <c r="U98" i="4"/>
  <c r="S81" i="4"/>
  <c r="U66" i="4"/>
  <c r="S90" i="4"/>
  <c r="T97" i="4"/>
  <c r="S32" i="4"/>
  <c r="U58" i="4"/>
  <c r="U92" i="4"/>
  <c r="U59" i="4"/>
  <c r="U99" i="4"/>
  <c r="T86" i="4"/>
  <c r="U32" i="4"/>
  <c r="U34" i="4"/>
  <c r="U54" i="4"/>
  <c r="U63" i="4"/>
  <c r="U61" i="4"/>
  <c r="U45" i="4"/>
  <c r="U64" i="4"/>
  <c r="S43" i="4"/>
  <c r="S99" i="4"/>
  <c r="S69" i="4"/>
  <c r="U47" i="4"/>
  <c r="U90" i="4"/>
  <c r="U82" i="4"/>
  <c r="S60" i="4"/>
  <c r="U88" i="4"/>
  <c r="U69" i="4"/>
  <c r="U22" i="4"/>
  <c r="U91" i="4"/>
  <c r="T67" i="4"/>
  <c r="T78" i="4"/>
  <c r="T88" i="4"/>
  <c r="T52" i="4"/>
  <c r="T44" i="4"/>
  <c r="T54" i="4"/>
  <c r="T41" i="4"/>
  <c r="T40" i="4"/>
  <c r="U26" i="4"/>
  <c r="U41" i="4"/>
  <c r="U24" i="4"/>
  <c r="S82" i="4"/>
  <c r="U84" i="4"/>
  <c r="S92" i="4"/>
  <c r="U80" i="4"/>
  <c r="T76" i="4"/>
  <c r="T68" i="4"/>
  <c r="T43" i="4"/>
  <c r="T90" i="4"/>
  <c r="S26" i="4"/>
  <c r="S27" i="4"/>
  <c r="S24" i="4"/>
  <c r="S28" i="4"/>
  <c r="S20" i="4"/>
  <c r="S34" i="4"/>
  <c r="S21" i="4"/>
  <c r="S25" i="4"/>
  <c r="S29" i="4"/>
  <c r="S33" i="4"/>
  <c r="BI23" i="4" l="1"/>
  <c r="BJ23" i="4" s="1"/>
  <c r="BI53" i="4"/>
  <c r="BS53" i="4" s="1"/>
  <c r="BJ53" i="4"/>
  <c r="BE25" i="4"/>
  <c r="BI25" i="4"/>
  <c r="DU41" i="4"/>
  <c r="AG41" i="4"/>
  <c r="CT41" i="4"/>
  <c r="CU41" i="4" s="1"/>
  <c r="DB41" i="4"/>
  <c r="CT82" i="4"/>
  <c r="CU82" i="4" s="1"/>
  <c r="DU82" i="4"/>
  <c r="AG82" i="4"/>
  <c r="DB82" i="4"/>
  <c r="DU61" i="4"/>
  <c r="DB61" i="4"/>
  <c r="AG61" i="4"/>
  <c r="CT61" i="4"/>
  <c r="CU61" i="4" s="1"/>
  <c r="DU92" i="4"/>
  <c r="CT92" i="4"/>
  <c r="CU92" i="4" s="1"/>
  <c r="AG92" i="4"/>
  <c r="DB92" i="4"/>
  <c r="DU94" i="4"/>
  <c r="AG94" i="4"/>
  <c r="CT94" i="4"/>
  <c r="CU94" i="4" s="1"/>
  <c r="DB94" i="4"/>
  <c r="DU79" i="4"/>
  <c r="AG79" i="4"/>
  <c r="DB79" i="4"/>
  <c r="CT79" i="4"/>
  <c r="CU79" i="4" s="1"/>
  <c r="BJ57" i="4"/>
  <c r="BI57" i="4"/>
  <c r="BS57" i="4" s="1"/>
  <c r="BI89" i="4"/>
  <c r="BS89" i="4" s="1"/>
  <c r="BJ89" i="4"/>
  <c r="BJ79" i="4"/>
  <c r="BI79" i="4"/>
  <c r="BS79" i="4" s="1"/>
  <c r="AG65" i="4"/>
  <c r="DB65" i="4"/>
  <c r="CT65" i="4"/>
  <c r="CU65" i="4" s="1"/>
  <c r="DU65" i="4"/>
  <c r="CT28" i="4"/>
  <c r="CU28" i="4" s="1"/>
  <c r="CC28" i="4"/>
  <c r="DU28" i="4"/>
  <c r="AG28" i="4"/>
  <c r="DB28" i="4"/>
  <c r="DU68" i="4"/>
  <c r="AG68" i="4"/>
  <c r="DB68" i="4"/>
  <c r="CT68" i="4"/>
  <c r="CU68" i="4" s="1"/>
  <c r="BI51" i="4"/>
  <c r="BS51" i="4" s="1"/>
  <c r="BJ51" i="4"/>
  <c r="BJ37" i="4"/>
  <c r="BI37" i="4"/>
  <c r="BS37" i="4" s="1"/>
  <c r="DB70" i="4"/>
  <c r="CT70" i="4"/>
  <c r="CU70" i="4" s="1"/>
  <c r="DU70" i="4"/>
  <c r="AG70" i="4"/>
  <c r="BJ94" i="4"/>
  <c r="BI94" i="4"/>
  <c r="BS94" i="4" s="1"/>
  <c r="DU38" i="4"/>
  <c r="DB38" i="4"/>
  <c r="CT38" i="4"/>
  <c r="CU38" i="4" s="1"/>
  <c r="AG38" i="4"/>
  <c r="BI70" i="4"/>
  <c r="BS70" i="4" s="1"/>
  <c r="BJ70" i="4"/>
  <c r="DU73" i="4"/>
  <c r="CT73" i="4"/>
  <c r="CU73" i="4" s="1"/>
  <c r="AG73" i="4"/>
  <c r="DB73" i="4"/>
  <c r="DU25" i="4"/>
  <c r="DB25" i="4"/>
  <c r="AG25" i="4"/>
  <c r="CT25" i="4"/>
  <c r="CU25" i="4" s="1"/>
  <c r="CC25" i="4"/>
  <c r="BE28" i="4"/>
  <c r="BI28" i="4"/>
  <c r="BJ78" i="4"/>
  <c r="BI78" i="4"/>
  <c r="BS78" i="4" s="1"/>
  <c r="BE24" i="4"/>
  <c r="BI24" i="4"/>
  <c r="DB26" i="4"/>
  <c r="CT26" i="4"/>
  <c r="CU26" i="4" s="1"/>
  <c r="DU26" i="4"/>
  <c r="CC26" i="4"/>
  <c r="AG26" i="4"/>
  <c r="DU90" i="4"/>
  <c r="DB90" i="4"/>
  <c r="AG90" i="4"/>
  <c r="CT90" i="4"/>
  <c r="CU90" i="4" s="1"/>
  <c r="DU63" i="4"/>
  <c r="DB63" i="4"/>
  <c r="AG63" i="4"/>
  <c r="CT63" i="4"/>
  <c r="CU63" i="4" s="1"/>
  <c r="CT58" i="4"/>
  <c r="CU58" i="4" s="1"/>
  <c r="DB58" i="4"/>
  <c r="AG58" i="4"/>
  <c r="DU58" i="4"/>
  <c r="BJ59" i="4"/>
  <c r="BI59" i="4"/>
  <c r="BS59" i="4" s="1"/>
  <c r="DU87" i="4"/>
  <c r="AG87" i="4"/>
  <c r="CT87" i="4"/>
  <c r="CU87" i="4" s="1"/>
  <c r="DB87" i="4"/>
  <c r="DU52" i="4"/>
  <c r="DB52" i="4"/>
  <c r="CT52" i="4"/>
  <c r="CU52" i="4" s="1"/>
  <c r="AG52" i="4"/>
  <c r="DU67" i="4"/>
  <c r="AG67" i="4"/>
  <c r="CT67" i="4"/>
  <c r="CU67" i="4" s="1"/>
  <c r="DB67" i="4"/>
  <c r="AG97" i="4"/>
  <c r="DB97" i="4"/>
  <c r="DU97" i="4"/>
  <c r="CT97" i="4"/>
  <c r="CU97" i="4" s="1"/>
  <c r="BI80" i="4"/>
  <c r="BS80" i="4" s="1"/>
  <c r="BJ80" i="4"/>
  <c r="BI44" i="4"/>
  <c r="BS44" i="4" s="1"/>
  <c r="BJ44" i="4"/>
  <c r="DU76" i="4"/>
  <c r="CT76" i="4"/>
  <c r="CU76" i="4" s="1"/>
  <c r="AG76" i="4"/>
  <c r="DB76" i="4"/>
  <c r="BI40" i="4"/>
  <c r="BS40" i="4" s="1"/>
  <c r="BJ40" i="4"/>
  <c r="AG37" i="4"/>
  <c r="CT37" i="4"/>
  <c r="CU37" i="4" s="1"/>
  <c r="DU37" i="4"/>
  <c r="DB37" i="4"/>
  <c r="DU75" i="4"/>
  <c r="CT75" i="4"/>
  <c r="CU75" i="4" s="1"/>
  <c r="AG75" i="4"/>
  <c r="DB75" i="4"/>
  <c r="BJ64" i="4"/>
  <c r="BI64" i="4"/>
  <c r="BS64" i="4" s="1"/>
  <c r="CT35" i="4"/>
  <c r="CU35" i="4" s="1"/>
  <c r="DU35" i="4"/>
  <c r="AG35" i="4"/>
  <c r="DB35" i="4"/>
  <c r="BJ47" i="4"/>
  <c r="BI47" i="4"/>
  <c r="BS47" i="4" s="1"/>
  <c r="BI95" i="4"/>
  <c r="BS95" i="4" s="1"/>
  <c r="BJ95" i="4"/>
  <c r="BJ71" i="4"/>
  <c r="BI71" i="4"/>
  <c r="BS71" i="4" s="1"/>
  <c r="BJ97" i="4"/>
  <c r="BI97" i="4"/>
  <c r="BS97" i="4" s="1"/>
  <c r="BI56" i="4"/>
  <c r="BS56" i="4" s="1"/>
  <c r="BJ56" i="4"/>
  <c r="AG62" i="4"/>
  <c r="DU62" i="4"/>
  <c r="CT62" i="4"/>
  <c r="CU62" i="4" s="1"/>
  <c r="DB62" i="4"/>
  <c r="BJ85" i="4"/>
  <c r="BI85" i="4"/>
  <c r="BS85" i="4" s="1"/>
  <c r="BI91" i="4"/>
  <c r="BS91" i="4" s="1"/>
  <c r="BJ91" i="4"/>
  <c r="BI42" i="4"/>
  <c r="BS42" i="4" s="1"/>
  <c r="BJ42" i="4"/>
  <c r="BJ96" i="4"/>
  <c r="BI96" i="4"/>
  <c r="BS96" i="4" s="1"/>
  <c r="DB78" i="4"/>
  <c r="DU78" i="4"/>
  <c r="AG78" i="4"/>
  <c r="CT78" i="4"/>
  <c r="CU78" i="4" s="1"/>
  <c r="AI15" i="4"/>
  <c r="DU20" i="4"/>
  <c r="CC20" i="4"/>
  <c r="AF20" i="4"/>
  <c r="DB20" i="4"/>
  <c r="CT20" i="4"/>
  <c r="AG20" i="4"/>
  <c r="BI58" i="4"/>
  <c r="BS58" i="4" s="1"/>
  <c r="BJ58" i="4"/>
  <c r="BJ67" i="4"/>
  <c r="BI67" i="4"/>
  <c r="BS67" i="4" s="1"/>
  <c r="BI46" i="4"/>
  <c r="BS46" i="4" s="1"/>
  <c r="BJ46" i="4"/>
  <c r="BE27" i="4"/>
  <c r="BI27" i="4"/>
  <c r="BJ27" i="4" s="1"/>
  <c r="DB47" i="4"/>
  <c r="AG47" i="4"/>
  <c r="CT47" i="4"/>
  <c r="CU47" i="4" s="1"/>
  <c r="DU47" i="4"/>
  <c r="BJ45" i="4"/>
  <c r="BI45" i="4"/>
  <c r="BS45" i="4" s="1"/>
  <c r="DU56" i="4"/>
  <c r="AG56" i="4"/>
  <c r="DB56" i="4"/>
  <c r="CT56" i="4"/>
  <c r="CU56" i="4" s="1"/>
  <c r="BE34" i="4"/>
  <c r="BI34" i="4"/>
  <c r="BE26" i="4"/>
  <c r="BI26" i="4"/>
  <c r="BJ26" i="4" s="1"/>
  <c r="AG80" i="4"/>
  <c r="DU80" i="4"/>
  <c r="DB80" i="4"/>
  <c r="CT80" i="4"/>
  <c r="CU80" i="4" s="1"/>
  <c r="DU91" i="4"/>
  <c r="CT91" i="4"/>
  <c r="CU91" i="4" s="1"/>
  <c r="AG91" i="4"/>
  <c r="DB91" i="4"/>
  <c r="BI69" i="4"/>
  <c r="BS69" i="4" s="1"/>
  <c r="BJ69" i="4"/>
  <c r="CC34" i="4"/>
  <c r="DU34" i="4"/>
  <c r="CT34" i="4"/>
  <c r="CU34" i="4" s="1"/>
  <c r="AG34" i="4"/>
  <c r="DB34" i="4"/>
  <c r="DB89" i="4"/>
  <c r="AG89" i="4"/>
  <c r="CT89" i="4"/>
  <c r="CU89" i="4" s="1"/>
  <c r="DU89" i="4"/>
  <c r="BJ66" i="4"/>
  <c r="BI66" i="4"/>
  <c r="BS66" i="4" s="1"/>
  <c r="DB29" i="4"/>
  <c r="DU29" i="4"/>
  <c r="AG29" i="4"/>
  <c r="CT29" i="4"/>
  <c r="CU29" i="4" s="1"/>
  <c r="CC29" i="4"/>
  <c r="AG42" i="4"/>
  <c r="DB42" i="4"/>
  <c r="DU42" i="4"/>
  <c r="CT42" i="4"/>
  <c r="CU42" i="4" s="1"/>
  <c r="DU77" i="4"/>
  <c r="AG77" i="4"/>
  <c r="CT77" i="4"/>
  <c r="CU77" i="4" s="1"/>
  <c r="DB77" i="4"/>
  <c r="BJ49" i="4"/>
  <c r="BI49" i="4"/>
  <c r="BS49" i="4" s="1"/>
  <c r="BE22" i="4"/>
  <c r="BI22" i="4"/>
  <c r="AG72" i="4"/>
  <c r="CT72" i="4"/>
  <c r="CU72" i="4" s="1"/>
  <c r="DB72" i="4"/>
  <c r="DU72" i="4"/>
  <c r="BI61" i="4"/>
  <c r="BS61" i="4" s="1"/>
  <c r="BJ61" i="4"/>
  <c r="AG27" i="4"/>
  <c r="CC27" i="4"/>
  <c r="DU27" i="4"/>
  <c r="CT27" i="4"/>
  <c r="CU27" i="4" s="1"/>
  <c r="DB27" i="4"/>
  <c r="BJ50" i="4"/>
  <c r="BI50" i="4"/>
  <c r="BS50" i="4" s="1"/>
  <c r="DU57" i="4"/>
  <c r="CT57" i="4"/>
  <c r="CU57" i="4" s="1"/>
  <c r="DB57" i="4"/>
  <c r="AG57" i="4"/>
  <c r="BJ36" i="4"/>
  <c r="BI36" i="4"/>
  <c r="BS36" i="4" s="1"/>
  <c r="AG44" i="4"/>
  <c r="CT44" i="4"/>
  <c r="CU44" i="4" s="1"/>
  <c r="DU44" i="4"/>
  <c r="DB44" i="4"/>
  <c r="DB85" i="4"/>
  <c r="CT85" i="4"/>
  <c r="CU85" i="4" s="1"/>
  <c r="AG85" i="4"/>
  <c r="DU85" i="4"/>
  <c r="BI62" i="4"/>
  <c r="BS62" i="4" s="1"/>
  <c r="BJ62" i="4"/>
  <c r="BE21" i="4"/>
  <c r="BI21" i="4"/>
  <c r="BJ21" i="4" s="1"/>
  <c r="BT21" i="4" s="1"/>
  <c r="BX21" i="4" s="1"/>
  <c r="BE32" i="4"/>
  <c r="BI32" i="4"/>
  <c r="BJ32" i="4" s="1"/>
  <c r="BJ92" i="4"/>
  <c r="BI92" i="4"/>
  <c r="BS92" i="4" s="1"/>
  <c r="CC22" i="4"/>
  <c r="DU22" i="4"/>
  <c r="CT22" i="4"/>
  <c r="CU22" i="4" s="1"/>
  <c r="AG22" i="4"/>
  <c r="DB22" i="4"/>
  <c r="BJ99" i="4"/>
  <c r="BI99" i="4"/>
  <c r="BS99" i="4" s="1"/>
  <c r="CC32" i="4"/>
  <c r="DU32" i="4"/>
  <c r="CT32" i="4"/>
  <c r="CU32" i="4" s="1"/>
  <c r="AG32" i="4"/>
  <c r="DB32" i="4"/>
  <c r="BJ90" i="4"/>
  <c r="BI90" i="4"/>
  <c r="BS90" i="4" s="1"/>
  <c r="BI98" i="4"/>
  <c r="BS98" i="4" s="1"/>
  <c r="BJ98" i="4"/>
  <c r="DU86" i="4"/>
  <c r="DB86" i="4"/>
  <c r="AG86" i="4"/>
  <c r="CT86" i="4"/>
  <c r="CU86" i="4" s="1"/>
  <c r="CT48" i="4"/>
  <c r="CU48" i="4" s="1"/>
  <c r="DB48" i="4"/>
  <c r="DU48" i="4"/>
  <c r="AG48" i="4"/>
  <c r="BJ48" i="4"/>
  <c r="BI48" i="4"/>
  <c r="BS48" i="4" s="1"/>
  <c r="AG40" i="4"/>
  <c r="DB40" i="4"/>
  <c r="DU40" i="4"/>
  <c r="CT40" i="4"/>
  <c r="CU40" i="4" s="1"/>
  <c r="DB39" i="4"/>
  <c r="CT39" i="4"/>
  <c r="CU39" i="4" s="1"/>
  <c r="DU39" i="4"/>
  <c r="AG39" i="4"/>
  <c r="BJ87" i="4"/>
  <c r="BI87" i="4"/>
  <c r="BS87" i="4" s="1"/>
  <c r="BI77" i="4"/>
  <c r="BS77" i="4" s="1"/>
  <c r="BJ77" i="4"/>
  <c r="BJ38" i="4"/>
  <c r="BI38" i="4"/>
  <c r="BS38" i="4" s="1"/>
  <c r="BI76" i="4"/>
  <c r="BS76" i="4" s="1"/>
  <c r="BJ76" i="4"/>
  <c r="BJ74" i="4"/>
  <c r="BI74" i="4"/>
  <c r="BS74" i="4" s="1"/>
  <c r="CC31" i="4"/>
  <c r="DU31" i="4"/>
  <c r="AG31" i="4"/>
  <c r="CT31" i="4"/>
  <c r="CU31" i="4" s="1"/>
  <c r="DB31" i="4"/>
  <c r="DU93" i="4"/>
  <c r="DB93" i="4"/>
  <c r="CT93" i="4"/>
  <c r="CU93" i="4" s="1"/>
  <c r="AG93" i="4"/>
  <c r="AB2" i="4"/>
  <c r="AG21" i="4"/>
  <c r="DB21" i="4"/>
  <c r="DU21" i="4"/>
  <c r="CT21" i="4"/>
  <c r="CU21" i="4" s="1"/>
  <c r="CC21" i="4"/>
  <c r="DU54" i="4"/>
  <c r="CT54" i="4"/>
  <c r="CU54" i="4" s="1"/>
  <c r="AG54" i="4"/>
  <c r="DB54" i="4"/>
  <c r="BE33" i="4"/>
  <c r="BI33" i="4"/>
  <c r="BE20" i="4"/>
  <c r="BI20" i="4"/>
  <c r="DU84" i="4"/>
  <c r="CT84" i="4"/>
  <c r="CU84" i="4" s="1"/>
  <c r="DB84" i="4"/>
  <c r="AG84" i="4"/>
  <c r="AG69" i="4"/>
  <c r="DU69" i="4"/>
  <c r="DB69" i="4"/>
  <c r="CT69" i="4"/>
  <c r="CU69" i="4" s="1"/>
  <c r="BJ43" i="4"/>
  <c r="BI43" i="4"/>
  <c r="BS43" i="4" s="1"/>
  <c r="CT66" i="4"/>
  <c r="CU66" i="4" s="1"/>
  <c r="AG66" i="4"/>
  <c r="DU66" i="4"/>
  <c r="DB66" i="4"/>
  <c r="BI65" i="4"/>
  <c r="BS65" i="4" s="1"/>
  <c r="BJ65" i="4"/>
  <c r="BJ88" i="4"/>
  <c r="BI88" i="4"/>
  <c r="BS88" i="4" s="1"/>
  <c r="AG30" i="4"/>
  <c r="DU30" i="4"/>
  <c r="DB30" i="4"/>
  <c r="CT30" i="4"/>
  <c r="CU30" i="4" s="1"/>
  <c r="BI75" i="4"/>
  <c r="BS75" i="4" s="1"/>
  <c r="BJ75" i="4"/>
  <c r="CT55" i="4"/>
  <c r="CU55" i="4" s="1"/>
  <c r="DU55" i="4"/>
  <c r="AG55" i="4"/>
  <c r="DB55" i="4"/>
  <c r="BI54" i="4"/>
  <c r="BS54" i="4" s="1"/>
  <c r="BJ54" i="4"/>
  <c r="DB83" i="4"/>
  <c r="AG83" i="4"/>
  <c r="DU83" i="4"/>
  <c r="CT83" i="4"/>
  <c r="CU83" i="4" s="1"/>
  <c r="AG36" i="4"/>
  <c r="CT36" i="4"/>
  <c r="CU36" i="4" s="1"/>
  <c r="DU36" i="4"/>
  <c r="DB36" i="4"/>
  <c r="AG81" i="4"/>
  <c r="DB81" i="4"/>
  <c r="DU81" i="4"/>
  <c r="CT81" i="4"/>
  <c r="CU81" i="4" s="1"/>
  <c r="CT50" i="4"/>
  <c r="CU50" i="4" s="1"/>
  <c r="DB50" i="4"/>
  <c r="DU50" i="4"/>
  <c r="AG50" i="4"/>
  <c r="CT60" i="4"/>
  <c r="CU60" i="4" s="1"/>
  <c r="AG60" i="4"/>
  <c r="DU60" i="4"/>
  <c r="DB60" i="4"/>
  <c r="BJ82" i="4"/>
  <c r="BI82" i="4"/>
  <c r="BS82" i="4" s="1"/>
  <c r="DU64" i="4"/>
  <c r="DB64" i="4"/>
  <c r="CT64" i="4"/>
  <c r="CU64" i="4" s="1"/>
  <c r="AG64" i="4"/>
  <c r="BJ81" i="4"/>
  <c r="BI81" i="4"/>
  <c r="BS81" i="4" s="1"/>
  <c r="BJ55" i="4"/>
  <c r="BI55" i="4"/>
  <c r="BS55" i="4" s="1"/>
  <c r="BJ83" i="4"/>
  <c r="BI83" i="4"/>
  <c r="BS83" i="4" s="1"/>
  <c r="DU74" i="4"/>
  <c r="DB74" i="4"/>
  <c r="AG74" i="4"/>
  <c r="CT74" i="4"/>
  <c r="CU74" i="4" s="1"/>
  <c r="BJ63" i="4"/>
  <c r="BI63" i="4"/>
  <c r="BS63" i="4" s="1"/>
  <c r="BJ68" i="4"/>
  <c r="BI68" i="4"/>
  <c r="BS68" i="4" s="1"/>
  <c r="AG71" i="4"/>
  <c r="DU71" i="4"/>
  <c r="DB71" i="4"/>
  <c r="CT71" i="4"/>
  <c r="CU71" i="4" s="1"/>
  <c r="BJ52" i="4"/>
  <c r="BI52" i="4"/>
  <c r="BS52" i="4" s="1"/>
  <c r="BI30" i="4"/>
  <c r="BJ30" i="4" s="1"/>
  <c r="BO30" i="4" s="1"/>
  <c r="BI72" i="4"/>
  <c r="BS72" i="4" s="1"/>
  <c r="BJ72" i="4"/>
  <c r="BI39" i="4"/>
  <c r="BS39" i="4" s="1"/>
  <c r="BJ39" i="4"/>
  <c r="BE29" i="4"/>
  <c r="BI29" i="4"/>
  <c r="BJ29" i="4" s="1"/>
  <c r="DU88" i="4"/>
  <c r="CT88" i="4"/>
  <c r="CU88" i="4" s="1"/>
  <c r="AG88" i="4"/>
  <c r="DB88" i="4"/>
  <c r="AG99" i="4"/>
  <c r="DU99" i="4"/>
  <c r="CT99" i="4"/>
  <c r="CU99" i="4" s="1"/>
  <c r="DB99" i="4"/>
  <c r="CT46" i="4"/>
  <c r="CU46" i="4" s="1"/>
  <c r="DU46" i="4"/>
  <c r="AG46" i="4"/>
  <c r="DB46" i="4"/>
  <c r="DU24" i="4"/>
  <c r="AG24" i="4"/>
  <c r="CT24" i="4"/>
  <c r="CU24" i="4" s="1"/>
  <c r="CC24" i="4"/>
  <c r="DB24" i="4"/>
  <c r="BI60" i="4"/>
  <c r="BS60" i="4" s="1"/>
  <c r="BJ60" i="4"/>
  <c r="AG45" i="4"/>
  <c r="DB45" i="4"/>
  <c r="DU45" i="4"/>
  <c r="CT45" i="4"/>
  <c r="CU45" i="4" s="1"/>
  <c r="DU59" i="4"/>
  <c r="DB59" i="4"/>
  <c r="CT59" i="4"/>
  <c r="CU59" i="4" s="1"/>
  <c r="AG59" i="4"/>
  <c r="AG98" i="4"/>
  <c r="DU98" i="4"/>
  <c r="CT98" i="4"/>
  <c r="CU98" i="4" s="1"/>
  <c r="DB98" i="4"/>
  <c r="DU49" i="4"/>
  <c r="AG49" i="4"/>
  <c r="DB49" i="4"/>
  <c r="CT49" i="4"/>
  <c r="CU49" i="4" s="1"/>
  <c r="BJ41" i="4"/>
  <c r="BI41" i="4"/>
  <c r="BS41" i="4" s="1"/>
  <c r="BI84" i="4"/>
  <c r="BS84" i="4" s="1"/>
  <c r="BJ84" i="4"/>
  <c r="BE31" i="4"/>
  <c r="BI31" i="4"/>
  <c r="BJ31" i="4" s="1"/>
  <c r="AG95" i="4"/>
  <c r="DU95" i="4"/>
  <c r="CT95" i="4"/>
  <c r="CU95" i="4" s="1"/>
  <c r="DB95" i="4"/>
  <c r="DB43" i="4"/>
  <c r="AG43" i="4"/>
  <c r="CT43" i="4"/>
  <c r="CU43" i="4" s="1"/>
  <c r="DU43" i="4"/>
  <c r="AG96" i="4"/>
  <c r="DU96" i="4"/>
  <c r="CT96" i="4"/>
  <c r="CU96" i="4" s="1"/>
  <c r="DB96" i="4"/>
  <c r="BI35" i="4"/>
  <c r="BS35" i="4" s="1"/>
  <c r="BJ35" i="4"/>
  <c r="DU53" i="4"/>
  <c r="CT53" i="4"/>
  <c r="CU53" i="4" s="1"/>
  <c r="DB53" i="4"/>
  <c r="AG53" i="4"/>
  <c r="BI73" i="4"/>
  <c r="BS73" i="4" s="1"/>
  <c r="BJ73" i="4"/>
  <c r="BI86" i="4"/>
  <c r="BS86" i="4" s="1"/>
  <c r="BJ86" i="4"/>
  <c r="CT23" i="4"/>
  <c r="CU23" i="4" s="1"/>
  <c r="DU23" i="4"/>
  <c r="AG23" i="4"/>
  <c r="DB23" i="4"/>
  <c r="CC23" i="4"/>
  <c r="BJ93" i="4"/>
  <c r="BI93" i="4"/>
  <c r="BS93" i="4" s="1"/>
  <c r="DU51" i="4"/>
  <c r="DB51" i="4"/>
  <c r="CT51" i="4"/>
  <c r="CU51" i="4" s="1"/>
  <c r="AG51" i="4"/>
  <c r="DU33" i="4"/>
  <c r="CT33" i="4"/>
  <c r="CU33" i="4" s="1"/>
  <c r="AG33" i="4"/>
  <c r="DB33" i="4"/>
  <c r="CC33" i="4"/>
  <c r="BS30" i="4" l="1"/>
  <c r="BW30" i="4" s="1"/>
  <c r="BN30" i="4"/>
  <c r="BP30" i="4" s="1"/>
  <c r="BJ20" i="4"/>
  <c r="BT20" i="4" s="1"/>
  <c r="BX20" i="4" s="1"/>
  <c r="BS20" i="4"/>
  <c r="BW20" i="4" s="1"/>
  <c r="BS23" i="4"/>
  <c r="BW23" i="4" s="1"/>
  <c r="BN23" i="4"/>
  <c r="BK26" i="4"/>
  <c r="BT26" i="4"/>
  <c r="BX26" i="4" s="1"/>
  <c r="BO26" i="4"/>
  <c r="BT29" i="4"/>
  <c r="BX29" i="4" s="1"/>
  <c r="BK29" i="4"/>
  <c r="BO29" i="4"/>
  <c r="BO27" i="4"/>
  <c r="BT27" i="4"/>
  <c r="BX27" i="4" s="1"/>
  <c r="BK27" i="4"/>
  <c r="BK93" i="4"/>
  <c r="BT93" i="4"/>
  <c r="BK86" i="4"/>
  <c r="BT86" i="4"/>
  <c r="BT63" i="4"/>
  <c r="BK63" i="4"/>
  <c r="BK50" i="4"/>
  <c r="BT50" i="4"/>
  <c r="BT61" i="4"/>
  <c r="BK61" i="4"/>
  <c r="BS22" i="4"/>
  <c r="BW22" i="4" s="1"/>
  <c r="BN22" i="4"/>
  <c r="BT69" i="4"/>
  <c r="BK69" i="4"/>
  <c r="BS34" i="4"/>
  <c r="BW34" i="4" s="1"/>
  <c r="BN34" i="4"/>
  <c r="BK45" i="4"/>
  <c r="BT45" i="4"/>
  <c r="BK56" i="4"/>
  <c r="BT56" i="4"/>
  <c r="BK80" i="4"/>
  <c r="BT80" i="4"/>
  <c r="BS24" i="4"/>
  <c r="BW24" i="4" s="1"/>
  <c r="BN24" i="4"/>
  <c r="BS28" i="4"/>
  <c r="BW28" i="4" s="1"/>
  <c r="BN28" i="4"/>
  <c r="BK79" i="4"/>
  <c r="BT79" i="4"/>
  <c r="BS25" i="4"/>
  <c r="BW25" i="4" s="1"/>
  <c r="BN25" i="4"/>
  <c r="BO31" i="4"/>
  <c r="BT31" i="4"/>
  <c r="BX31" i="4" s="1"/>
  <c r="BK31" i="4"/>
  <c r="BT41" i="4"/>
  <c r="BK41" i="4"/>
  <c r="BS29" i="4"/>
  <c r="BW29" i="4" s="1"/>
  <c r="BN29" i="4"/>
  <c r="BK87" i="4"/>
  <c r="BT87" i="4"/>
  <c r="BS21" i="4"/>
  <c r="BW21" i="4" s="1"/>
  <c r="BN21" i="4"/>
  <c r="BK36" i="4"/>
  <c r="BT36" i="4"/>
  <c r="BK58" i="4"/>
  <c r="BT58" i="4"/>
  <c r="BT96" i="4"/>
  <c r="BK96" i="4"/>
  <c r="BK95" i="4"/>
  <c r="BT95" i="4"/>
  <c r="BJ24" i="4"/>
  <c r="BJ25" i="4"/>
  <c r="BK35" i="4"/>
  <c r="BT35" i="4"/>
  <c r="BS31" i="4"/>
  <c r="BW31" i="4" s="1"/>
  <c r="BN31" i="4"/>
  <c r="BT30" i="4"/>
  <c r="BX30" i="4" s="1"/>
  <c r="BK30" i="4"/>
  <c r="BK55" i="4"/>
  <c r="BT55" i="4"/>
  <c r="BK75" i="4"/>
  <c r="BT75" i="4"/>
  <c r="BK88" i="4"/>
  <c r="BT88" i="4"/>
  <c r="BS33" i="4"/>
  <c r="BW33" i="4" s="1"/>
  <c r="BN33" i="4"/>
  <c r="BK90" i="4"/>
  <c r="BT90" i="4"/>
  <c r="BK21" i="4"/>
  <c r="BO21" i="4"/>
  <c r="F14" i="4"/>
  <c r="E14" i="4"/>
  <c r="G14" i="4"/>
  <c r="BK85" i="4"/>
  <c r="BT85" i="4"/>
  <c r="BK89" i="4"/>
  <c r="BT89" i="4"/>
  <c r="BK73" i="4"/>
  <c r="BT73" i="4"/>
  <c r="BT60" i="4"/>
  <c r="BK60" i="4"/>
  <c r="BT54" i="4"/>
  <c r="BK54" i="4"/>
  <c r="BJ33" i="4"/>
  <c r="BK38" i="4"/>
  <c r="BT38" i="4"/>
  <c r="BK99" i="4"/>
  <c r="BT99" i="4"/>
  <c r="BK92" i="4"/>
  <c r="BT92" i="4"/>
  <c r="BT46" i="4"/>
  <c r="BK46" i="4"/>
  <c r="BK42" i="4"/>
  <c r="BT42" i="4"/>
  <c r="BK39" i="4"/>
  <c r="BT39" i="4"/>
  <c r="BT82" i="4"/>
  <c r="BK82" i="4"/>
  <c r="BK65" i="4"/>
  <c r="BT65" i="4"/>
  <c r="BK43" i="4"/>
  <c r="BT43" i="4"/>
  <c r="BK48" i="4"/>
  <c r="BT48" i="4"/>
  <c r="BK49" i="4"/>
  <c r="BT49" i="4"/>
  <c r="BS26" i="4"/>
  <c r="BW26" i="4" s="1"/>
  <c r="BN26" i="4"/>
  <c r="AG19" i="4"/>
  <c r="BK97" i="4"/>
  <c r="BT97" i="4"/>
  <c r="BT64" i="4"/>
  <c r="BK64" i="4"/>
  <c r="BT59" i="4"/>
  <c r="BK59" i="4"/>
  <c r="BK37" i="4"/>
  <c r="BT37" i="4"/>
  <c r="BK53" i="4"/>
  <c r="BT53" i="4"/>
  <c r="BK84" i="4"/>
  <c r="BT84" i="4"/>
  <c r="BT68" i="4"/>
  <c r="BK68" i="4"/>
  <c r="BT81" i="4"/>
  <c r="BK81" i="4"/>
  <c r="BT23" i="4"/>
  <c r="BX23" i="4" s="1"/>
  <c r="BK23" i="4"/>
  <c r="BO23" i="4"/>
  <c r="BK74" i="4"/>
  <c r="BT74" i="4"/>
  <c r="BK77" i="4"/>
  <c r="BT77" i="4"/>
  <c r="BO32" i="4"/>
  <c r="BT32" i="4"/>
  <c r="BX32" i="4" s="1"/>
  <c r="BK32" i="4"/>
  <c r="BK62" i="4"/>
  <c r="BT62" i="4"/>
  <c r="BK66" i="4"/>
  <c r="BT66" i="4"/>
  <c r="CT100" i="4"/>
  <c r="CT101" i="4" s="1"/>
  <c r="CU20" i="4"/>
  <c r="BK47" i="4"/>
  <c r="BT47" i="4"/>
  <c r="BT44" i="4"/>
  <c r="BK44" i="4"/>
  <c r="BK78" i="4"/>
  <c r="BT78" i="4"/>
  <c r="BK70" i="4"/>
  <c r="BT70" i="4"/>
  <c r="BK94" i="4"/>
  <c r="BT94" i="4"/>
  <c r="BK52" i="4"/>
  <c r="BT52" i="4"/>
  <c r="BN15" i="4"/>
  <c r="BN10" i="4"/>
  <c r="BW15" i="4"/>
  <c r="BN16" i="4"/>
  <c r="BN20" i="4"/>
  <c r="BK98" i="4"/>
  <c r="BT98" i="4"/>
  <c r="BS32" i="4"/>
  <c r="BW32" i="4" s="1"/>
  <c r="BN32" i="4"/>
  <c r="BK91" i="4"/>
  <c r="BT91" i="4"/>
  <c r="BK40" i="4"/>
  <c r="BT40" i="4"/>
  <c r="BK51" i="4"/>
  <c r="BT51" i="4"/>
  <c r="BT57" i="4"/>
  <c r="BK57" i="4"/>
  <c r="BK72" i="4"/>
  <c r="BT72" i="4"/>
  <c r="BK83" i="4"/>
  <c r="BT83" i="4"/>
  <c r="BK76" i="4"/>
  <c r="BT76" i="4"/>
  <c r="BJ22" i="4"/>
  <c r="BJ34" i="4"/>
  <c r="BS27" i="4"/>
  <c r="BW27" i="4" s="1"/>
  <c r="BN27" i="4"/>
  <c r="BK67" i="4"/>
  <c r="BT67" i="4"/>
  <c r="BK71" i="4"/>
  <c r="BT71" i="4"/>
  <c r="BJ28" i="4"/>
  <c r="BY30" i="4" l="1"/>
  <c r="BO15" i="4"/>
  <c r="BO20" i="4"/>
  <c r="BP20" i="4" s="1"/>
  <c r="BO16" i="4"/>
  <c r="BX15" i="4"/>
  <c r="BY20" i="4"/>
  <c r="BY23" i="4"/>
  <c r="BK20" i="4"/>
  <c r="BL20" i="4" s="1"/>
  <c r="BV20" i="4" s="1"/>
  <c r="BL21" i="4"/>
  <c r="BV21" i="4" s="1"/>
  <c r="BU21" i="4"/>
  <c r="BP23" i="4"/>
  <c r="BY31" i="4"/>
  <c r="BY29" i="4"/>
  <c r="BY32" i="4"/>
  <c r="BU72" i="4"/>
  <c r="BL72" i="4"/>
  <c r="BU44" i="4"/>
  <c r="BL44" i="4"/>
  <c r="BU32" i="4"/>
  <c r="BL32" i="4"/>
  <c r="BV32" i="4" s="1"/>
  <c r="BU23" i="4"/>
  <c r="BL23" i="4"/>
  <c r="BV23" i="4" s="1"/>
  <c r="BU64" i="4"/>
  <c r="BL64" i="4"/>
  <c r="BU49" i="4"/>
  <c r="BL49" i="4"/>
  <c r="BU39" i="4"/>
  <c r="BL39" i="4"/>
  <c r="BU54" i="4"/>
  <c r="BL54" i="4"/>
  <c r="BU90" i="4"/>
  <c r="BL90" i="4"/>
  <c r="BU75" i="4"/>
  <c r="BL75" i="4"/>
  <c r="BU35" i="4"/>
  <c r="BL35" i="4"/>
  <c r="BK24" i="4"/>
  <c r="BT24" i="4"/>
  <c r="BX24" i="4" s="1"/>
  <c r="BY24" i="4" s="1"/>
  <c r="BO24" i="4"/>
  <c r="BP24" i="4" s="1"/>
  <c r="BU58" i="4"/>
  <c r="BL58" i="4"/>
  <c r="BU50" i="4"/>
  <c r="BL50" i="4"/>
  <c r="BY27" i="4"/>
  <c r="BU67" i="4"/>
  <c r="BL67" i="4"/>
  <c r="BU52" i="4"/>
  <c r="BL52" i="4"/>
  <c r="BU85" i="4"/>
  <c r="BL85" i="4"/>
  <c r="BU41" i="4"/>
  <c r="BL41" i="4"/>
  <c r="BU79" i="4"/>
  <c r="BL79" i="4"/>
  <c r="BU69" i="4"/>
  <c r="BL69" i="4"/>
  <c r="BU63" i="4"/>
  <c r="BL63" i="4"/>
  <c r="BP27" i="4"/>
  <c r="BU51" i="4"/>
  <c r="BL51" i="4"/>
  <c r="BU98" i="4"/>
  <c r="BL98" i="4"/>
  <c r="BU81" i="4"/>
  <c r="BL81" i="4"/>
  <c r="BU48" i="4"/>
  <c r="BL48" i="4"/>
  <c r="BU43" i="4"/>
  <c r="BL43" i="4"/>
  <c r="BU92" i="4"/>
  <c r="BL92" i="4"/>
  <c r="BU60" i="4"/>
  <c r="BL60" i="4"/>
  <c r="BU55" i="4"/>
  <c r="BL55" i="4"/>
  <c r="BU95" i="4"/>
  <c r="BL95" i="4"/>
  <c r="BU36" i="4"/>
  <c r="BL36" i="4"/>
  <c r="BU94" i="4"/>
  <c r="BL94" i="4"/>
  <c r="BU47" i="4"/>
  <c r="BL47" i="4"/>
  <c r="BU53" i="4"/>
  <c r="BL53" i="4"/>
  <c r="BU97" i="4"/>
  <c r="BL97" i="4"/>
  <c r="BU30" i="4"/>
  <c r="BL30" i="4"/>
  <c r="BU96" i="4"/>
  <c r="BL96" i="4"/>
  <c r="BP21" i="4"/>
  <c r="BU31" i="4"/>
  <c r="BL31" i="4"/>
  <c r="BV31" i="4" s="1"/>
  <c r="BU29" i="4"/>
  <c r="BL29" i="4"/>
  <c r="BV29" i="4" s="1"/>
  <c r="BO34" i="4"/>
  <c r="BP34" i="4" s="1"/>
  <c r="BT34" i="4"/>
  <c r="BX34" i="4" s="1"/>
  <c r="BY34" i="4" s="1"/>
  <c r="BK34" i="4"/>
  <c r="BU40" i="4"/>
  <c r="BL40" i="4"/>
  <c r="BU77" i="4"/>
  <c r="BL77" i="4"/>
  <c r="BU68" i="4"/>
  <c r="BL68" i="4"/>
  <c r="BU65" i="4"/>
  <c r="BL65" i="4"/>
  <c r="BU99" i="4"/>
  <c r="BL99" i="4"/>
  <c r="BY21" i="4"/>
  <c r="BU86" i="4"/>
  <c r="BL86" i="4"/>
  <c r="BO28" i="4"/>
  <c r="BP28" i="4" s="1"/>
  <c r="BT28" i="4"/>
  <c r="BX28" i="4" s="1"/>
  <c r="BY28" i="4" s="1"/>
  <c r="BK28" i="4"/>
  <c r="BO22" i="4"/>
  <c r="BP22" i="4" s="1"/>
  <c r="BT22" i="4"/>
  <c r="BX22" i="4" s="1"/>
  <c r="BY22" i="4" s="1"/>
  <c r="BK22" i="4"/>
  <c r="BU70" i="4"/>
  <c r="BL70" i="4"/>
  <c r="C41" i="8"/>
  <c r="CU17" i="4"/>
  <c r="CV30" i="4" s="1"/>
  <c r="C23" i="8"/>
  <c r="BU37" i="4"/>
  <c r="BL37" i="4"/>
  <c r="BU82" i="4"/>
  <c r="BL82" i="4"/>
  <c r="BU73" i="4"/>
  <c r="BL73" i="4"/>
  <c r="BP31" i="4"/>
  <c r="BU80" i="4"/>
  <c r="BL80" i="4"/>
  <c r="BU61" i="4"/>
  <c r="BL61" i="4"/>
  <c r="BP26" i="4"/>
  <c r="BU83" i="4"/>
  <c r="BL83" i="4"/>
  <c r="BU91" i="4"/>
  <c r="BL91" i="4"/>
  <c r="BU74" i="4"/>
  <c r="BL74" i="4"/>
  <c r="BU59" i="4"/>
  <c r="BL59" i="4"/>
  <c r="BU42" i="4"/>
  <c r="BL42" i="4"/>
  <c r="BU38" i="4"/>
  <c r="BL38" i="4"/>
  <c r="BU88" i="4"/>
  <c r="BL88" i="4"/>
  <c r="BU87" i="4"/>
  <c r="BL87" i="4"/>
  <c r="BU45" i="4"/>
  <c r="BL45" i="4"/>
  <c r="BU93" i="4"/>
  <c r="BL93" i="4"/>
  <c r="BY26" i="4"/>
  <c r="BU71" i="4"/>
  <c r="BL71" i="4"/>
  <c r="BU76" i="4"/>
  <c r="BL76" i="4"/>
  <c r="BU57" i="4"/>
  <c r="BL57" i="4"/>
  <c r="BP32" i="4"/>
  <c r="BU78" i="4"/>
  <c r="BL78" i="4"/>
  <c r="BU66" i="4"/>
  <c r="BL66" i="4"/>
  <c r="BU62" i="4"/>
  <c r="BL62" i="4"/>
  <c r="BU84" i="4"/>
  <c r="BL84" i="4"/>
  <c r="BU46" i="4"/>
  <c r="BL46" i="4"/>
  <c r="BT33" i="4"/>
  <c r="BX33" i="4" s="1"/>
  <c r="BY33" i="4" s="1"/>
  <c r="BK33" i="4"/>
  <c r="BO33" i="4"/>
  <c r="BP33" i="4" s="1"/>
  <c r="BU89" i="4"/>
  <c r="BL89" i="4"/>
  <c r="BT25" i="4"/>
  <c r="BX25" i="4" s="1"/>
  <c r="BY25" i="4" s="1"/>
  <c r="BK25" i="4"/>
  <c r="BO25" i="4"/>
  <c r="BP25" i="4" s="1"/>
  <c r="BP29" i="4"/>
  <c r="BU56" i="4"/>
  <c r="BL56" i="4"/>
  <c r="BU27" i="4"/>
  <c r="BL27" i="4"/>
  <c r="BV27" i="4" s="1"/>
  <c r="BU26" i="4"/>
  <c r="BL26" i="4"/>
  <c r="BV26" i="4" s="1"/>
  <c r="BZ20" i="4" l="1"/>
  <c r="CA20" i="4" s="1"/>
  <c r="CO20" i="4" s="1"/>
  <c r="BZ21" i="4"/>
  <c r="CA21" i="4" s="1"/>
  <c r="CO21" i="4" s="1"/>
  <c r="BQ21" i="4"/>
  <c r="BR21" i="4" s="1"/>
  <c r="BZ23" i="4"/>
  <c r="CA23" i="4" s="1"/>
  <c r="CO23" i="4" s="1"/>
  <c r="BQ23" i="4"/>
  <c r="BR23" i="4" s="1"/>
  <c r="BU20" i="4"/>
  <c r="BQ20" i="4"/>
  <c r="BR20" i="4" s="1"/>
  <c r="BZ31" i="4"/>
  <c r="CA31" i="4" s="1"/>
  <c r="CO31" i="4" s="1"/>
  <c r="BZ32" i="4"/>
  <c r="CA32" i="4" s="1"/>
  <c r="CO32" i="4" s="1"/>
  <c r="BQ29" i="4"/>
  <c r="T29" i="4" s="1"/>
  <c r="BQ31" i="4"/>
  <c r="CD31" i="4" s="1"/>
  <c r="BZ29" i="4"/>
  <c r="CA29" i="4" s="1"/>
  <c r="CO29" i="4" s="1"/>
  <c r="BZ26" i="4"/>
  <c r="CA26" i="4" s="1"/>
  <c r="CO26" i="4" s="1"/>
  <c r="BQ26" i="4"/>
  <c r="BR26" i="4" s="1"/>
  <c r="BQ27" i="4"/>
  <c r="BR27" i="4" s="1"/>
  <c r="BZ27" i="4"/>
  <c r="CA27" i="4" s="1"/>
  <c r="CO27" i="4" s="1"/>
  <c r="BQ32" i="4"/>
  <c r="CD32" i="4" s="1"/>
  <c r="BV96" i="4"/>
  <c r="BZ96" i="4" s="1"/>
  <c r="CA96" i="4" s="1"/>
  <c r="BQ96" i="4"/>
  <c r="CD96" i="4" s="1"/>
  <c r="BQ53" i="4"/>
  <c r="CD53" i="4" s="1"/>
  <c r="BV53" i="4"/>
  <c r="BZ53" i="4" s="1"/>
  <c r="CA53" i="4" s="1"/>
  <c r="BV60" i="4"/>
  <c r="BZ60" i="4" s="1"/>
  <c r="CA60" i="4" s="1"/>
  <c r="BQ60" i="4"/>
  <c r="CD60" i="4" s="1"/>
  <c r="BQ81" i="4"/>
  <c r="CD81" i="4" s="1"/>
  <c r="BV81" i="4"/>
  <c r="BZ81" i="4" s="1"/>
  <c r="CA81" i="4" s="1"/>
  <c r="BQ63" i="4"/>
  <c r="CD63" i="4" s="1"/>
  <c r="BV63" i="4"/>
  <c r="BZ63" i="4" s="1"/>
  <c r="CA63" i="4" s="1"/>
  <c r="BV50" i="4"/>
  <c r="BZ50" i="4" s="1"/>
  <c r="CA50" i="4" s="1"/>
  <c r="BQ50" i="4"/>
  <c r="BV54" i="4"/>
  <c r="BZ54" i="4" s="1"/>
  <c r="CA54" i="4" s="1"/>
  <c r="BQ54" i="4"/>
  <c r="CD54" i="4" s="1"/>
  <c r="BV91" i="4"/>
  <c r="BZ91" i="4" s="1"/>
  <c r="CA91" i="4" s="1"/>
  <c r="BQ91" i="4"/>
  <c r="CD91" i="4" s="1"/>
  <c r="BV37" i="4"/>
  <c r="BZ37" i="4" s="1"/>
  <c r="CA37" i="4" s="1"/>
  <c r="BQ37" i="4"/>
  <c r="BU33" i="4"/>
  <c r="BL33" i="4"/>
  <c r="BV33" i="4" s="1"/>
  <c r="BZ33" i="4" s="1"/>
  <c r="CA33" i="4" s="1"/>
  <c r="BV45" i="4"/>
  <c r="BZ45" i="4" s="1"/>
  <c r="CA45" i="4" s="1"/>
  <c r="BQ45" i="4"/>
  <c r="BV77" i="4"/>
  <c r="BZ77" i="4" s="1"/>
  <c r="CA77" i="4" s="1"/>
  <c r="BQ77" i="4"/>
  <c r="CD77" i="4" s="1"/>
  <c r="BV85" i="4"/>
  <c r="BZ85" i="4" s="1"/>
  <c r="CA85" i="4" s="1"/>
  <c r="BQ85" i="4"/>
  <c r="CD85" i="4" s="1"/>
  <c r="BU24" i="4"/>
  <c r="BL24" i="4"/>
  <c r="BV66" i="4"/>
  <c r="BZ66" i="4" s="1"/>
  <c r="CA66" i="4" s="1"/>
  <c r="BQ66" i="4"/>
  <c r="CD66" i="4" s="1"/>
  <c r="BV76" i="4"/>
  <c r="BZ76" i="4" s="1"/>
  <c r="CA76" i="4" s="1"/>
  <c r="BQ76" i="4"/>
  <c r="CD76" i="4" s="1"/>
  <c r="BV42" i="4"/>
  <c r="BZ42" i="4" s="1"/>
  <c r="CA42" i="4" s="1"/>
  <c r="BQ42" i="4"/>
  <c r="BQ83" i="4"/>
  <c r="CD83" i="4" s="1"/>
  <c r="BV83" i="4"/>
  <c r="BZ83" i="4" s="1"/>
  <c r="CA83" i="4" s="1"/>
  <c r="C24" i="8"/>
  <c r="BU28" i="4"/>
  <c r="BL28" i="4"/>
  <c r="BV28" i="4" s="1"/>
  <c r="BZ28" i="4" s="1"/>
  <c r="CA28" i="4" s="1"/>
  <c r="CO28" i="4" s="1"/>
  <c r="BV30" i="4"/>
  <c r="BZ30" i="4" s="1"/>
  <c r="CA30" i="4" s="1"/>
  <c r="BQ30" i="4"/>
  <c r="T30" i="4" s="1"/>
  <c r="BQ47" i="4"/>
  <c r="BV47" i="4"/>
  <c r="BZ47" i="4" s="1"/>
  <c r="CA47" i="4" s="1"/>
  <c r="BV36" i="4"/>
  <c r="BZ36" i="4" s="1"/>
  <c r="CA36" i="4" s="1"/>
  <c r="BQ36" i="4"/>
  <c r="BV92" i="4"/>
  <c r="BZ92" i="4" s="1"/>
  <c r="CA92" i="4" s="1"/>
  <c r="BQ92" i="4"/>
  <c r="CD92" i="4" s="1"/>
  <c r="BQ98" i="4"/>
  <c r="CD98" i="4" s="1"/>
  <c r="BV98" i="4"/>
  <c r="BZ98" i="4" s="1"/>
  <c r="CA98" i="4" s="1"/>
  <c r="BV69" i="4"/>
  <c r="BZ69" i="4" s="1"/>
  <c r="CA69" i="4" s="1"/>
  <c r="BQ69" i="4"/>
  <c r="CD69" i="4" s="1"/>
  <c r="BV35" i="4"/>
  <c r="BZ35" i="4" s="1"/>
  <c r="CA35" i="4" s="1"/>
  <c r="BQ35" i="4"/>
  <c r="BV39" i="4"/>
  <c r="BZ39" i="4" s="1"/>
  <c r="CA39" i="4" s="1"/>
  <c r="BQ39" i="4"/>
  <c r="BQ38" i="4"/>
  <c r="BV38" i="4"/>
  <c r="BZ38" i="4" s="1"/>
  <c r="CA38" i="4" s="1"/>
  <c r="BV46" i="4"/>
  <c r="BZ46" i="4" s="1"/>
  <c r="CA46" i="4" s="1"/>
  <c r="BQ46" i="4"/>
  <c r="BQ73" i="4"/>
  <c r="CD73" i="4" s="1"/>
  <c r="BV73" i="4"/>
  <c r="BZ73" i="4" s="1"/>
  <c r="CA73" i="4" s="1"/>
  <c r="CV34" i="4"/>
  <c r="CV22" i="4"/>
  <c r="CV27" i="4"/>
  <c r="CV21" i="4"/>
  <c r="CV31" i="4"/>
  <c r="CV25" i="4"/>
  <c r="CV20" i="4"/>
  <c r="CV26" i="4"/>
  <c r="CV32" i="4"/>
  <c r="CV28" i="4"/>
  <c r="CV29" i="4"/>
  <c r="CV23" i="4"/>
  <c r="CV24" i="4"/>
  <c r="CV33" i="4"/>
  <c r="BQ99" i="4"/>
  <c r="CD99" i="4" s="1"/>
  <c r="BV99" i="4"/>
  <c r="BZ99" i="4" s="1"/>
  <c r="CA99" i="4" s="1"/>
  <c r="BV40" i="4"/>
  <c r="BZ40" i="4" s="1"/>
  <c r="CA40" i="4" s="1"/>
  <c r="BQ40" i="4"/>
  <c r="BV52" i="4"/>
  <c r="BZ52" i="4" s="1"/>
  <c r="CA52" i="4" s="1"/>
  <c r="BQ52" i="4"/>
  <c r="CD52" i="4" s="1"/>
  <c r="BU25" i="4"/>
  <c r="BL25" i="4"/>
  <c r="BV25" i="4" s="1"/>
  <c r="BZ25" i="4" s="1"/>
  <c r="CA25" i="4" s="1"/>
  <c r="BV78" i="4"/>
  <c r="BZ78" i="4" s="1"/>
  <c r="CA78" i="4" s="1"/>
  <c r="BQ78" i="4"/>
  <c r="CD78" i="4" s="1"/>
  <c r="BV71" i="4"/>
  <c r="BZ71" i="4" s="1"/>
  <c r="CA71" i="4" s="1"/>
  <c r="BQ71" i="4"/>
  <c r="CD71" i="4" s="1"/>
  <c r="BV87" i="4"/>
  <c r="BZ87" i="4" s="1"/>
  <c r="CA87" i="4" s="1"/>
  <c r="BQ87" i="4"/>
  <c r="CD87" i="4" s="1"/>
  <c r="BQ59" i="4"/>
  <c r="CD59" i="4" s="1"/>
  <c r="BV59" i="4"/>
  <c r="BZ59" i="4" s="1"/>
  <c r="CA59" i="4" s="1"/>
  <c r="C42" i="8"/>
  <c r="BV94" i="4"/>
  <c r="BZ94" i="4" s="1"/>
  <c r="CA94" i="4" s="1"/>
  <c r="BQ94" i="4"/>
  <c r="CD94" i="4" s="1"/>
  <c r="BQ95" i="4"/>
  <c r="CD95" i="4" s="1"/>
  <c r="BV95" i="4"/>
  <c r="BZ95" i="4" s="1"/>
  <c r="CA95" i="4" s="1"/>
  <c r="BV43" i="4"/>
  <c r="BZ43" i="4" s="1"/>
  <c r="CA43" i="4" s="1"/>
  <c r="BQ43" i="4"/>
  <c r="BV51" i="4"/>
  <c r="BZ51" i="4" s="1"/>
  <c r="CA51" i="4" s="1"/>
  <c r="BQ51" i="4"/>
  <c r="BV75" i="4"/>
  <c r="BZ75" i="4" s="1"/>
  <c r="CA75" i="4" s="1"/>
  <c r="BQ75" i="4"/>
  <c r="CD75" i="4" s="1"/>
  <c r="BV49" i="4"/>
  <c r="BZ49" i="4" s="1"/>
  <c r="CA49" i="4" s="1"/>
  <c r="BQ49" i="4"/>
  <c r="BV44" i="4"/>
  <c r="BZ44" i="4" s="1"/>
  <c r="CA44" i="4" s="1"/>
  <c r="BQ44" i="4"/>
  <c r="BV62" i="4"/>
  <c r="BZ62" i="4" s="1"/>
  <c r="CA62" i="4" s="1"/>
  <c r="BQ62" i="4"/>
  <c r="CD62" i="4" s="1"/>
  <c r="BV84" i="4"/>
  <c r="BZ84" i="4" s="1"/>
  <c r="CA84" i="4" s="1"/>
  <c r="BQ84" i="4"/>
  <c r="CD84" i="4" s="1"/>
  <c r="BQ61" i="4"/>
  <c r="CD61" i="4" s="1"/>
  <c r="BV61" i="4"/>
  <c r="BZ61" i="4" s="1"/>
  <c r="CA61" i="4" s="1"/>
  <c r="BV82" i="4"/>
  <c r="BZ82" i="4" s="1"/>
  <c r="CA82" i="4" s="1"/>
  <c r="BQ82" i="4"/>
  <c r="CD82" i="4" s="1"/>
  <c r="BQ70" i="4"/>
  <c r="CD70" i="4" s="1"/>
  <c r="BV70" i="4"/>
  <c r="BZ70" i="4" s="1"/>
  <c r="CA70" i="4" s="1"/>
  <c r="BQ86" i="4"/>
  <c r="CD86" i="4" s="1"/>
  <c r="BV86" i="4"/>
  <c r="BZ86" i="4" s="1"/>
  <c r="CA86" i="4" s="1"/>
  <c r="BV65" i="4"/>
  <c r="BZ65" i="4" s="1"/>
  <c r="CA65" i="4" s="1"/>
  <c r="BQ65" i="4"/>
  <c r="CD65" i="4" s="1"/>
  <c r="BU34" i="4"/>
  <c r="BL34" i="4"/>
  <c r="BV79" i="4"/>
  <c r="BZ79" i="4" s="1"/>
  <c r="CA79" i="4" s="1"/>
  <c r="BQ79" i="4"/>
  <c r="CD79" i="4" s="1"/>
  <c r="BV67" i="4"/>
  <c r="BZ67" i="4" s="1"/>
  <c r="CA67" i="4" s="1"/>
  <c r="BQ67" i="4"/>
  <c r="CD67" i="4" s="1"/>
  <c r="BV58" i="4"/>
  <c r="BZ58" i="4" s="1"/>
  <c r="CA58" i="4" s="1"/>
  <c r="BQ58" i="4"/>
  <c r="CD58" i="4" s="1"/>
  <c r="BV56" i="4"/>
  <c r="BZ56" i="4" s="1"/>
  <c r="CA56" i="4" s="1"/>
  <c r="BQ56" i="4"/>
  <c r="CD56" i="4" s="1"/>
  <c r="BV89" i="4"/>
  <c r="BZ89" i="4" s="1"/>
  <c r="CA89" i="4" s="1"/>
  <c r="BQ89" i="4"/>
  <c r="CD89" i="4" s="1"/>
  <c r="BQ88" i="4"/>
  <c r="CD88" i="4" s="1"/>
  <c r="BV88" i="4"/>
  <c r="BZ88" i="4" s="1"/>
  <c r="CA88" i="4" s="1"/>
  <c r="BQ74" i="4"/>
  <c r="CD74" i="4" s="1"/>
  <c r="BV74" i="4"/>
  <c r="BZ74" i="4" s="1"/>
  <c r="CA74" i="4" s="1"/>
  <c r="BQ97" i="4"/>
  <c r="CD97" i="4" s="1"/>
  <c r="BV97" i="4"/>
  <c r="BZ97" i="4" s="1"/>
  <c r="CA97" i="4" s="1"/>
  <c r="BV55" i="4"/>
  <c r="BZ55" i="4" s="1"/>
  <c r="CA55" i="4" s="1"/>
  <c r="BQ55" i="4"/>
  <c r="CD55" i="4" s="1"/>
  <c r="BQ48" i="4"/>
  <c r="BV48" i="4"/>
  <c r="BZ48" i="4" s="1"/>
  <c r="CA48" i="4" s="1"/>
  <c r="BV90" i="4"/>
  <c r="BZ90" i="4" s="1"/>
  <c r="CA90" i="4" s="1"/>
  <c r="BQ90" i="4"/>
  <c r="CD90" i="4" s="1"/>
  <c r="BV64" i="4"/>
  <c r="BZ64" i="4" s="1"/>
  <c r="CA64" i="4" s="1"/>
  <c r="BQ64" i="4"/>
  <c r="CD64" i="4" s="1"/>
  <c r="BV72" i="4"/>
  <c r="BZ72" i="4" s="1"/>
  <c r="CA72" i="4" s="1"/>
  <c r="BQ72" i="4"/>
  <c r="CD72" i="4" s="1"/>
  <c r="BQ57" i="4"/>
  <c r="CD57" i="4" s="1"/>
  <c r="BV57" i="4"/>
  <c r="BZ57" i="4" s="1"/>
  <c r="CA57" i="4" s="1"/>
  <c r="T23" i="4"/>
  <c r="BQ93" i="4"/>
  <c r="CD93" i="4" s="1"/>
  <c r="BV93" i="4"/>
  <c r="BZ93" i="4" s="1"/>
  <c r="CA93" i="4" s="1"/>
  <c r="BQ80" i="4"/>
  <c r="CD80" i="4" s="1"/>
  <c r="BV80" i="4"/>
  <c r="BZ80" i="4" s="1"/>
  <c r="CA80" i="4" s="1"/>
  <c r="BU22" i="4"/>
  <c r="BL22" i="4"/>
  <c r="BV22" i="4" s="1"/>
  <c r="BZ22" i="4" s="1"/>
  <c r="CA22" i="4" s="1"/>
  <c r="BV68" i="4"/>
  <c r="BZ68" i="4" s="1"/>
  <c r="CA68" i="4" s="1"/>
  <c r="BQ68" i="4"/>
  <c r="CD68" i="4" s="1"/>
  <c r="BQ41" i="4"/>
  <c r="BV41" i="4"/>
  <c r="BZ41" i="4" s="1"/>
  <c r="CA41" i="4" s="1"/>
  <c r="T21" i="4" l="1"/>
  <c r="T20" i="4"/>
  <c r="CD21" i="4"/>
  <c r="CD20" i="4"/>
  <c r="CD23" i="4"/>
  <c r="CD29" i="4"/>
  <c r="T31" i="4"/>
  <c r="BR31" i="4"/>
  <c r="CD26" i="4"/>
  <c r="BR29" i="4"/>
  <c r="T32" i="4"/>
  <c r="T27" i="4"/>
  <c r="CD27" i="4"/>
  <c r="T26" i="4"/>
  <c r="BR32" i="4"/>
  <c r="CO57" i="4"/>
  <c r="CO48" i="4"/>
  <c r="CO88" i="4"/>
  <c r="CI67" i="4"/>
  <c r="CH67" i="4"/>
  <c r="CJ67" i="4"/>
  <c r="CG67" i="4"/>
  <c r="CO86" i="4"/>
  <c r="CJ84" i="4"/>
  <c r="CG84" i="4"/>
  <c r="CH84" i="4"/>
  <c r="CI84" i="4"/>
  <c r="CH75" i="4"/>
  <c r="CG75" i="4"/>
  <c r="CI75" i="4"/>
  <c r="CJ75" i="4"/>
  <c r="CJ94" i="4"/>
  <c r="CG94" i="4"/>
  <c r="CI94" i="4"/>
  <c r="CH94" i="4"/>
  <c r="CJ87" i="4"/>
  <c r="CI87" i="4"/>
  <c r="CG87" i="4"/>
  <c r="CH87" i="4"/>
  <c r="CG52" i="4"/>
  <c r="CI52" i="4"/>
  <c r="CJ52" i="4"/>
  <c r="CH52" i="4"/>
  <c r="CO38" i="4"/>
  <c r="CH69" i="4"/>
  <c r="CI69" i="4"/>
  <c r="CG69" i="4"/>
  <c r="CJ69" i="4"/>
  <c r="CO47" i="4"/>
  <c r="CO83" i="4"/>
  <c r="CO37" i="4"/>
  <c r="CO54" i="4"/>
  <c r="CO60" i="4"/>
  <c r="CJ57" i="4"/>
  <c r="CI57" i="4"/>
  <c r="CG57" i="4"/>
  <c r="CH57" i="4"/>
  <c r="BR48" i="4"/>
  <c r="CD48" i="4"/>
  <c r="CG88" i="4"/>
  <c r="CH88" i="4"/>
  <c r="CJ88" i="4"/>
  <c r="CI88" i="4"/>
  <c r="CO67" i="4"/>
  <c r="CI86" i="4"/>
  <c r="CG86" i="4"/>
  <c r="CH86" i="4"/>
  <c r="CJ86" i="4"/>
  <c r="CO84" i="4"/>
  <c r="CO75" i="4"/>
  <c r="CO94" i="4"/>
  <c r="CO87" i="4"/>
  <c r="CO52" i="4"/>
  <c r="BR38" i="4"/>
  <c r="CD38" i="4"/>
  <c r="CO69" i="4"/>
  <c r="BR47" i="4"/>
  <c r="CD47" i="4"/>
  <c r="CG83" i="4"/>
  <c r="CH83" i="4"/>
  <c r="CJ83" i="4"/>
  <c r="CI83" i="4"/>
  <c r="CI91" i="4"/>
  <c r="CH91" i="4"/>
  <c r="CJ91" i="4"/>
  <c r="CG91" i="4"/>
  <c r="CD50" i="4"/>
  <c r="BR50" i="4"/>
  <c r="CO53" i="4"/>
  <c r="BQ28" i="4"/>
  <c r="CO80" i="4"/>
  <c r="CI80" i="4"/>
  <c r="CH80" i="4"/>
  <c r="CJ80" i="4"/>
  <c r="CG80" i="4"/>
  <c r="CJ72" i="4"/>
  <c r="CH72" i="4"/>
  <c r="CI72" i="4"/>
  <c r="CG72" i="4"/>
  <c r="CG55" i="4"/>
  <c r="CJ55" i="4"/>
  <c r="CH55" i="4"/>
  <c r="CI55" i="4"/>
  <c r="CJ89" i="4"/>
  <c r="CI89" i="4"/>
  <c r="CG89" i="4"/>
  <c r="CH89" i="4"/>
  <c r="CH79" i="4"/>
  <c r="CJ79" i="4"/>
  <c r="CG79" i="4"/>
  <c r="CI79" i="4"/>
  <c r="CO70" i="4"/>
  <c r="CI62" i="4"/>
  <c r="CH62" i="4"/>
  <c r="CG62" i="4"/>
  <c r="CJ62" i="4"/>
  <c r="BR51" i="4"/>
  <c r="CD51" i="4"/>
  <c r="CH71" i="4"/>
  <c r="CG71" i="4"/>
  <c r="CI71" i="4"/>
  <c r="CJ71" i="4"/>
  <c r="BR40" i="4"/>
  <c r="CD40" i="4"/>
  <c r="CO98" i="4"/>
  <c r="CD30" i="4"/>
  <c r="BR30" i="4"/>
  <c r="BR42" i="4"/>
  <c r="CD42" i="4"/>
  <c r="BV24" i="4"/>
  <c r="BZ24" i="4" s="1"/>
  <c r="CA24" i="4" s="1"/>
  <c r="BQ24" i="4"/>
  <c r="CO91" i="4"/>
  <c r="CO50" i="4"/>
  <c r="CI53" i="4"/>
  <c r="CJ53" i="4"/>
  <c r="CH53" i="4"/>
  <c r="CG53" i="4"/>
  <c r="BQ22" i="4"/>
  <c r="CO41" i="4"/>
  <c r="CO93" i="4"/>
  <c r="CO72" i="4"/>
  <c r="CO55" i="4"/>
  <c r="CO89" i="4"/>
  <c r="CO79" i="4"/>
  <c r="CI70" i="4"/>
  <c r="CG70" i="4"/>
  <c r="CH70" i="4"/>
  <c r="CJ70" i="4"/>
  <c r="CO62" i="4"/>
  <c r="CO51" i="4"/>
  <c r="CO71" i="4"/>
  <c r="CO40" i="4"/>
  <c r="CH98" i="4"/>
  <c r="CI98" i="4"/>
  <c r="CG98" i="4"/>
  <c r="CJ98" i="4"/>
  <c r="CO30" i="4"/>
  <c r="CO42" i="4"/>
  <c r="CD45" i="4"/>
  <c r="BR45" i="4"/>
  <c r="CO63" i="4"/>
  <c r="CI96" i="4"/>
  <c r="CG96" i="4"/>
  <c r="CJ96" i="4"/>
  <c r="CH96" i="4"/>
  <c r="CH64" i="4"/>
  <c r="CI64" i="4"/>
  <c r="CG64" i="4"/>
  <c r="CJ64" i="4"/>
  <c r="CO97" i="4"/>
  <c r="CJ56" i="4"/>
  <c r="CI56" i="4"/>
  <c r="CH56" i="4"/>
  <c r="CG56" i="4"/>
  <c r="BV34" i="4"/>
  <c r="BZ34" i="4" s="1"/>
  <c r="CA34" i="4" s="1"/>
  <c r="BQ34" i="4"/>
  <c r="CH82" i="4"/>
  <c r="CG82" i="4"/>
  <c r="CI82" i="4"/>
  <c r="CJ82" i="4"/>
  <c r="BR44" i="4"/>
  <c r="CD44" i="4"/>
  <c r="BR43" i="4"/>
  <c r="CD43" i="4"/>
  <c r="CG78" i="4"/>
  <c r="CH78" i="4"/>
  <c r="CI78" i="4"/>
  <c r="CJ78" i="4"/>
  <c r="CO99" i="4"/>
  <c r="CO73" i="4"/>
  <c r="CD39" i="4"/>
  <c r="BR39" i="4"/>
  <c r="CH92" i="4"/>
  <c r="CJ92" i="4"/>
  <c r="CI92" i="4"/>
  <c r="CG92" i="4"/>
  <c r="CI76" i="4"/>
  <c r="CJ76" i="4"/>
  <c r="CG76" i="4"/>
  <c r="CH76" i="4"/>
  <c r="CI85" i="4"/>
  <c r="CJ85" i="4"/>
  <c r="CG85" i="4"/>
  <c r="CH85" i="4"/>
  <c r="CO45" i="4"/>
  <c r="CI63" i="4"/>
  <c r="CJ63" i="4"/>
  <c r="CG63" i="4"/>
  <c r="CH63" i="4"/>
  <c r="CO96" i="4"/>
  <c r="BQ33" i="4"/>
  <c r="CO64" i="4"/>
  <c r="CO56" i="4"/>
  <c r="CO82" i="4"/>
  <c r="CO44" i="4"/>
  <c r="CO43" i="4"/>
  <c r="G42" i="8"/>
  <c r="B42" i="8"/>
  <c r="K42" i="8"/>
  <c r="E42" i="8"/>
  <c r="C43" i="8"/>
  <c r="I42" i="8"/>
  <c r="H42" i="8"/>
  <c r="D42" i="8"/>
  <c r="J42" i="8"/>
  <c r="L42" i="8"/>
  <c r="F42" i="8"/>
  <c r="CO78" i="4"/>
  <c r="CI99" i="4"/>
  <c r="CJ99" i="4"/>
  <c r="CH99" i="4"/>
  <c r="CG99" i="4"/>
  <c r="CG73" i="4"/>
  <c r="CJ73" i="4"/>
  <c r="CH73" i="4"/>
  <c r="CI73" i="4"/>
  <c r="CO39" i="4"/>
  <c r="CO92" i="4"/>
  <c r="CO76" i="4"/>
  <c r="CO85" i="4"/>
  <c r="CO33" i="4"/>
  <c r="CO81" i="4"/>
  <c r="BQ25" i="4"/>
  <c r="CI93" i="4"/>
  <c r="CH93" i="4"/>
  <c r="CG93" i="4"/>
  <c r="CJ93" i="4"/>
  <c r="CO68" i="4"/>
  <c r="CH90" i="4"/>
  <c r="CG90" i="4"/>
  <c r="CI90" i="4"/>
  <c r="CJ90" i="4"/>
  <c r="CO74" i="4"/>
  <c r="CI58" i="4"/>
  <c r="CJ58" i="4"/>
  <c r="CH58" i="4"/>
  <c r="CG58" i="4"/>
  <c r="CI65" i="4"/>
  <c r="CH65" i="4"/>
  <c r="CG65" i="4"/>
  <c r="CJ65" i="4"/>
  <c r="CO61" i="4"/>
  <c r="CD49" i="4"/>
  <c r="BR49" i="4"/>
  <c r="CO95" i="4"/>
  <c r="CO59" i="4"/>
  <c r="CO25" i="4"/>
  <c r="BR46" i="4"/>
  <c r="CD46" i="4"/>
  <c r="BR35" i="4"/>
  <c r="CD35" i="4"/>
  <c r="BR36" i="4"/>
  <c r="CD36" i="4"/>
  <c r="CI66" i="4"/>
  <c r="CJ66" i="4"/>
  <c r="CH66" i="4"/>
  <c r="CG66" i="4"/>
  <c r="CH77" i="4"/>
  <c r="CI77" i="4"/>
  <c r="CG77" i="4"/>
  <c r="CJ77" i="4"/>
  <c r="CH81" i="4"/>
  <c r="CJ81" i="4"/>
  <c r="CG81" i="4"/>
  <c r="CI81" i="4"/>
  <c r="BR41" i="4"/>
  <c r="CD41" i="4"/>
  <c r="CI68" i="4"/>
  <c r="CJ68" i="4"/>
  <c r="CH68" i="4"/>
  <c r="CG68" i="4"/>
  <c r="CJ97" i="4"/>
  <c r="CG97" i="4"/>
  <c r="CI97" i="4"/>
  <c r="CH97" i="4"/>
  <c r="CO22" i="4"/>
  <c r="CO90" i="4"/>
  <c r="CJ74" i="4"/>
  <c r="CG74" i="4"/>
  <c r="CH74" i="4"/>
  <c r="CI74" i="4"/>
  <c r="CO58" i="4"/>
  <c r="CO65" i="4"/>
  <c r="CJ61" i="4"/>
  <c r="CI61" i="4"/>
  <c r="CG61" i="4"/>
  <c r="CH61" i="4"/>
  <c r="CO49" i="4"/>
  <c r="CG95" i="4"/>
  <c r="CJ95" i="4"/>
  <c r="CH95" i="4"/>
  <c r="CI95" i="4"/>
  <c r="CI59" i="4"/>
  <c r="CG59" i="4"/>
  <c r="CJ59" i="4"/>
  <c r="CH59" i="4"/>
  <c r="CO46" i="4"/>
  <c r="CO35" i="4"/>
  <c r="CO36" i="4"/>
  <c r="E24" i="8"/>
  <c r="C25" i="8"/>
  <c r="G24" i="8"/>
  <c r="K24" i="8"/>
  <c r="L24" i="8"/>
  <c r="I24" i="8"/>
  <c r="J24" i="8"/>
  <c r="H24" i="8"/>
  <c r="F24" i="8"/>
  <c r="B24" i="8"/>
  <c r="D24" i="8"/>
  <c r="CO66" i="4"/>
  <c r="CO77" i="4"/>
  <c r="CD37" i="4"/>
  <c r="BR37" i="4"/>
  <c r="CI54" i="4"/>
  <c r="CH54" i="4"/>
  <c r="CG54" i="4"/>
  <c r="CJ54" i="4"/>
  <c r="CG60" i="4"/>
  <c r="CI60" i="4"/>
  <c r="CJ60" i="4"/>
  <c r="CH60" i="4"/>
  <c r="CM60" i="4" l="1"/>
  <c r="BG62" i="4"/>
  <c r="BG86" i="4"/>
  <c r="CM97" i="4"/>
  <c r="BG75" i="4"/>
  <c r="BG79" i="4"/>
  <c r="BG67" i="4"/>
  <c r="BG99" i="4"/>
  <c r="CM39" i="4"/>
  <c r="CB78" i="4"/>
  <c r="CK78" i="4" s="1"/>
  <c r="CB82" i="4"/>
  <c r="CK82" i="4" s="1"/>
  <c r="CB36" i="4"/>
  <c r="CK36" i="4" s="1"/>
  <c r="CB95" i="4"/>
  <c r="CK95" i="4" s="1"/>
  <c r="CM81" i="4"/>
  <c r="CB85" i="4"/>
  <c r="CK85" i="4" s="1"/>
  <c r="BG81" i="4"/>
  <c r="CB77" i="4"/>
  <c r="CK77" i="4" s="1"/>
  <c r="CM65" i="4"/>
  <c r="CM90" i="4"/>
  <c r="CB22" i="4"/>
  <c r="CK22" i="4" s="1"/>
  <c r="CM27" i="4"/>
  <c r="CB76" i="4"/>
  <c r="CK76" i="4" s="1"/>
  <c r="CM57" i="4"/>
  <c r="CB74" i="4"/>
  <c r="CK74" i="4" s="1"/>
  <c r="CM85" i="4"/>
  <c r="CM23" i="4"/>
  <c r="CB58" i="4"/>
  <c r="CK58" i="4" s="1"/>
  <c r="CM63" i="4"/>
  <c r="CM47" i="4"/>
  <c r="CB23" i="4"/>
  <c r="CK23" i="4" s="1"/>
  <c r="CB25" i="4"/>
  <c r="CK25" i="4" s="1"/>
  <c r="CM42" i="4"/>
  <c r="CB96" i="4"/>
  <c r="CK96" i="4" s="1"/>
  <c r="CM92" i="4"/>
  <c r="CM28" i="4"/>
  <c r="CM24" i="4"/>
  <c r="CM67" i="4"/>
  <c r="CB81" i="4"/>
  <c r="CK81" i="4" s="1"/>
  <c r="CB92" i="4"/>
  <c r="CK92" i="4" s="1"/>
  <c r="CB66" i="4"/>
  <c r="CK66" i="4" s="1"/>
  <c r="CB68" i="4"/>
  <c r="CK68" i="4" s="1"/>
  <c r="CB64" i="4"/>
  <c r="CK64" i="4" s="1"/>
  <c r="CM25" i="4"/>
  <c r="CM74" i="4"/>
  <c r="BG68" i="4"/>
  <c r="CM30" i="4"/>
  <c r="BG53" i="4"/>
  <c r="BG84" i="4"/>
  <c r="CB35" i="4"/>
  <c r="CK35" i="4" s="1"/>
  <c r="CM83" i="4"/>
  <c r="CM38" i="4"/>
  <c r="CB59" i="4"/>
  <c r="CK59" i="4" s="1"/>
  <c r="CM29" i="4"/>
  <c r="CB39" i="4"/>
  <c r="CK39" i="4" s="1"/>
  <c r="CM76" i="4"/>
  <c r="CM62" i="4"/>
  <c r="BG69" i="4"/>
  <c r="BG54" i="4"/>
  <c r="CB46" i="4"/>
  <c r="CK46" i="4" s="1"/>
  <c r="CB65" i="4"/>
  <c r="CK65" i="4" s="1"/>
  <c r="CB90" i="4"/>
  <c r="CK90" i="4" s="1"/>
  <c r="CB20" i="4"/>
  <c r="CK20" i="4" s="1"/>
  <c r="CB29" i="4"/>
  <c r="CK29" i="4" s="1"/>
  <c r="CM73" i="4"/>
  <c r="CB33" i="4"/>
  <c r="CK33" i="4" s="1"/>
  <c r="CM52" i="4"/>
  <c r="CM96" i="4"/>
  <c r="CB49" i="4"/>
  <c r="CK49" i="4" s="1"/>
  <c r="CM99" i="4"/>
  <c r="BG66" i="4"/>
  <c r="BG58" i="4"/>
  <c r="BG90" i="4"/>
  <c r="CM69" i="4"/>
  <c r="CB56" i="4"/>
  <c r="CK56" i="4" s="1"/>
  <c r="CM64" i="4"/>
  <c r="CM48" i="4"/>
  <c r="CB61" i="4"/>
  <c r="CK61" i="4" s="1"/>
  <c r="CM26" i="4"/>
  <c r="CM79" i="4"/>
  <c r="BG64" i="4"/>
  <c r="BG82" i="4"/>
  <c r="BG88" i="4"/>
  <c r="BG59" i="4"/>
  <c r="BG73" i="4"/>
  <c r="CM89" i="4"/>
  <c r="BG89" i="4"/>
  <c r="BG94" i="4"/>
  <c r="BG97" i="4"/>
  <c r="BG77" i="4"/>
  <c r="BG65" i="4"/>
  <c r="BG56" i="4"/>
  <c r="BG57" i="4"/>
  <c r="BG52" i="4"/>
  <c r="CB28" i="4"/>
  <c r="CK28" i="4" s="1"/>
  <c r="CB34" i="4"/>
  <c r="CK34" i="4" s="1"/>
  <c r="CO34" i="4"/>
  <c r="CM72" i="4"/>
  <c r="CM77" i="4"/>
  <c r="CB79" i="4"/>
  <c r="CK79" i="4" s="1"/>
  <c r="CB93" i="4"/>
  <c r="CK93" i="4" s="1"/>
  <c r="CM35" i="4"/>
  <c r="CM56" i="4"/>
  <c r="CM20" i="4"/>
  <c r="CJ38" i="4"/>
  <c r="CI38" i="4"/>
  <c r="CG38" i="4"/>
  <c r="CH38" i="4"/>
  <c r="CB75" i="4"/>
  <c r="CK75" i="4" s="1"/>
  <c r="CM33" i="4"/>
  <c r="CJ36" i="4"/>
  <c r="CI36" i="4"/>
  <c r="CH36" i="4"/>
  <c r="CG36" i="4"/>
  <c r="CI44" i="4"/>
  <c r="CJ44" i="4"/>
  <c r="CG44" i="4"/>
  <c r="CH44" i="4"/>
  <c r="CI45" i="4"/>
  <c r="CJ45" i="4"/>
  <c r="CH45" i="4"/>
  <c r="CG45" i="4"/>
  <c r="CB51" i="4"/>
  <c r="CK51" i="4" s="1"/>
  <c r="CM75" i="4"/>
  <c r="CB70" i="4"/>
  <c r="CK70" i="4" s="1"/>
  <c r="CM32" i="4"/>
  <c r="CM36" i="4"/>
  <c r="CB67" i="4"/>
  <c r="CK67" i="4" s="1"/>
  <c r="CM31" i="4"/>
  <c r="BG95" i="4"/>
  <c r="BG85" i="4"/>
  <c r="CB99" i="4"/>
  <c r="CK99" i="4" s="1"/>
  <c r="CM78" i="4"/>
  <c r="CB42" i="4"/>
  <c r="CK42" i="4" s="1"/>
  <c r="CB32" i="4"/>
  <c r="CK32" i="4" s="1"/>
  <c r="CB89" i="4"/>
  <c r="CK89" i="4" s="1"/>
  <c r="CB41" i="4"/>
  <c r="CK41" i="4" s="1"/>
  <c r="T22" i="4"/>
  <c r="CD22" i="4"/>
  <c r="BR22" i="4"/>
  <c r="CM37" i="4"/>
  <c r="CB50" i="4"/>
  <c r="CK50" i="4" s="1"/>
  <c r="BG71" i="4"/>
  <c r="CM95" i="4"/>
  <c r="CB52" i="4"/>
  <c r="CK52" i="4" s="1"/>
  <c r="CB84" i="4"/>
  <c r="CK84" i="4" s="1"/>
  <c r="CM68" i="4"/>
  <c r="CB54" i="4"/>
  <c r="CK54" i="4" s="1"/>
  <c r="CB88" i="4"/>
  <c r="CK88" i="4" s="1"/>
  <c r="J25" i="8"/>
  <c r="D25" i="8"/>
  <c r="B25" i="8"/>
  <c r="L25" i="8"/>
  <c r="G25" i="8"/>
  <c r="F25" i="8"/>
  <c r="I25" i="8"/>
  <c r="E25" i="8"/>
  <c r="K25" i="8"/>
  <c r="H25" i="8"/>
  <c r="CG35" i="4"/>
  <c r="CJ35" i="4"/>
  <c r="CH35" i="4"/>
  <c r="CI35" i="4"/>
  <c r="CB43" i="4"/>
  <c r="CK43" i="4" s="1"/>
  <c r="CM21" i="4"/>
  <c r="BG63" i="4"/>
  <c r="CA18" i="4"/>
  <c r="BA15" i="4" s="1"/>
  <c r="I7" i="4" s="1"/>
  <c r="CB40" i="4"/>
  <c r="CK40" i="4" s="1"/>
  <c r="CB62" i="4"/>
  <c r="CK62" i="4" s="1"/>
  <c r="CM98" i="4"/>
  <c r="CM82" i="4"/>
  <c r="CB91" i="4"/>
  <c r="CK91" i="4" s="1"/>
  <c r="CB98" i="4"/>
  <c r="CK98" i="4" s="1"/>
  <c r="CH51" i="4"/>
  <c r="CG51" i="4"/>
  <c r="CJ51" i="4"/>
  <c r="CI51" i="4"/>
  <c r="BG80" i="4"/>
  <c r="CM53" i="4"/>
  <c r="CB53" i="4"/>
  <c r="CK53" i="4" s="1"/>
  <c r="BG83" i="4"/>
  <c r="CM80" i="4"/>
  <c r="CB37" i="4"/>
  <c r="CK37" i="4" s="1"/>
  <c r="CB48" i="4"/>
  <c r="CK48" i="4" s="1"/>
  <c r="CM51" i="4"/>
  <c r="BG92" i="4"/>
  <c r="CM61" i="4"/>
  <c r="BG96" i="4"/>
  <c r="CM40" i="4"/>
  <c r="CM58" i="4"/>
  <c r="CM59" i="4"/>
  <c r="CG47" i="4"/>
  <c r="CH47" i="4"/>
  <c r="CI47" i="4"/>
  <c r="CJ47" i="4"/>
  <c r="CM41" i="4"/>
  <c r="CM88" i="4"/>
  <c r="BG87" i="4"/>
  <c r="CB86" i="4"/>
  <c r="CK86" i="4" s="1"/>
  <c r="CG46" i="4"/>
  <c r="CH46" i="4"/>
  <c r="CJ46" i="4"/>
  <c r="CI46" i="4"/>
  <c r="T33" i="4"/>
  <c r="BR33" i="4"/>
  <c r="CD33" i="4"/>
  <c r="CM66" i="4"/>
  <c r="CB97" i="4"/>
  <c r="CK97" i="4" s="1"/>
  <c r="CM45" i="4"/>
  <c r="CB30" i="4"/>
  <c r="CK30" i="4" s="1"/>
  <c r="CB55" i="4"/>
  <c r="CK55" i="4" s="1"/>
  <c r="CM22" i="4"/>
  <c r="BR24" i="4"/>
  <c r="T24" i="4"/>
  <c r="CD24" i="4"/>
  <c r="CG40" i="4"/>
  <c r="CI40" i="4"/>
  <c r="CJ40" i="4"/>
  <c r="CH40" i="4"/>
  <c r="CM49" i="4"/>
  <c r="CI50" i="4"/>
  <c r="CJ50" i="4"/>
  <c r="CH50" i="4"/>
  <c r="CG50" i="4"/>
  <c r="CB87" i="4"/>
  <c r="CK87" i="4" s="1"/>
  <c r="CM87" i="4"/>
  <c r="CI37" i="4"/>
  <c r="CJ37" i="4"/>
  <c r="CH37" i="4"/>
  <c r="CG37" i="4"/>
  <c r="BG61" i="4"/>
  <c r="CJ41" i="4"/>
  <c r="CI41" i="4"/>
  <c r="CG41" i="4"/>
  <c r="CH41" i="4"/>
  <c r="CH49" i="4"/>
  <c r="CG49" i="4"/>
  <c r="CJ49" i="4"/>
  <c r="CI49" i="4"/>
  <c r="H43" i="8"/>
  <c r="K43" i="8"/>
  <c r="E43" i="8"/>
  <c r="I43" i="8"/>
  <c r="J43" i="8"/>
  <c r="G43" i="8"/>
  <c r="F43" i="8"/>
  <c r="B43" i="8"/>
  <c r="L43" i="8"/>
  <c r="D43" i="8"/>
  <c r="CB44" i="4"/>
  <c r="CK44" i="4" s="1"/>
  <c r="CM43" i="4"/>
  <c r="CM34" i="4"/>
  <c r="CB26" i="4"/>
  <c r="CK26" i="4" s="1"/>
  <c r="BG76" i="4"/>
  <c r="CJ39" i="4"/>
  <c r="CG39" i="4"/>
  <c r="CH39" i="4"/>
  <c r="CI39" i="4"/>
  <c r="BG78" i="4"/>
  <c r="CM71" i="4"/>
  <c r="CB71" i="4"/>
  <c r="CK71" i="4" s="1"/>
  <c r="BG70" i="4"/>
  <c r="CB72" i="4"/>
  <c r="CK72" i="4" s="1"/>
  <c r="CM44" i="4"/>
  <c r="CB24" i="4"/>
  <c r="CK24" i="4" s="1"/>
  <c r="CO24" i="4"/>
  <c r="BG55" i="4"/>
  <c r="BR28" i="4"/>
  <c r="T28" i="4"/>
  <c r="CD28" i="4"/>
  <c r="CM55" i="4"/>
  <c r="BG91" i="4"/>
  <c r="CB69" i="4"/>
  <c r="CK69" i="4" s="1"/>
  <c r="CB94" i="4"/>
  <c r="CK94" i="4" s="1"/>
  <c r="CI48" i="4"/>
  <c r="CH48" i="4"/>
  <c r="CG48" i="4"/>
  <c r="CJ48" i="4"/>
  <c r="CM46" i="4"/>
  <c r="CM54" i="4"/>
  <c r="CB83" i="4"/>
  <c r="CK83" i="4" s="1"/>
  <c r="CB38" i="4"/>
  <c r="CK38" i="4" s="1"/>
  <c r="CB57" i="4"/>
  <c r="CK57" i="4" s="1"/>
  <c r="BG60" i="4"/>
  <c r="BG74" i="4"/>
  <c r="BG93" i="4"/>
  <c r="BR25" i="4"/>
  <c r="T25" i="4"/>
  <c r="CD25" i="4"/>
  <c r="CM70" i="4"/>
  <c r="CM86" i="4"/>
  <c r="CB45" i="4"/>
  <c r="CK45" i="4" s="1"/>
  <c r="CB73" i="4"/>
  <c r="CK73" i="4" s="1"/>
  <c r="CH43" i="4"/>
  <c r="CJ43" i="4"/>
  <c r="CG43" i="4"/>
  <c r="CI43" i="4"/>
  <c r="T34" i="4"/>
  <c r="CD34" i="4"/>
  <c r="BR34" i="4"/>
  <c r="CM93" i="4"/>
  <c r="CB63" i="4"/>
  <c r="CK63" i="4" s="1"/>
  <c r="BG98" i="4"/>
  <c r="CB31" i="4"/>
  <c r="CK31" i="4" s="1"/>
  <c r="CM94" i="4"/>
  <c r="CG42" i="4"/>
  <c r="CJ42" i="4"/>
  <c r="CH42" i="4"/>
  <c r="CI42" i="4"/>
  <c r="BG72" i="4"/>
  <c r="CB80" i="4"/>
  <c r="CK80" i="4" s="1"/>
  <c r="CB21" i="4"/>
  <c r="CK21" i="4" s="1"/>
  <c r="CM50" i="4"/>
  <c r="CB27" i="4"/>
  <c r="CK27" i="4" s="1"/>
  <c r="CM84" i="4"/>
  <c r="CB60" i="4"/>
  <c r="CK60" i="4" s="1"/>
  <c r="CB47" i="4"/>
  <c r="CK47" i="4" s="1"/>
  <c r="CM91" i="4"/>
  <c r="BG36" i="4" l="1"/>
  <c r="J26" i="8"/>
  <c r="J18" i="8" s="1"/>
  <c r="BG51" i="4"/>
  <c r="BG40" i="4"/>
  <c r="BG46" i="4"/>
  <c r="BG47" i="4"/>
  <c r="BG35" i="4"/>
  <c r="BG44" i="4"/>
  <c r="BG50" i="4"/>
  <c r="BG37" i="4"/>
  <c r="BG49" i="4"/>
  <c r="BG39" i="4"/>
  <c r="D44" i="8"/>
  <c r="D36" i="8" s="1"/>
  <c r="I44" i="8"/>
  <c r="I36" i="8" s="1"/>
  <c r="J44" i="8"/>
  <c r="J36" i="8" s="1"/>
  <c r="G44" i="8"/>
  <c r="G36" i="8" s="1"/>
  <c r="K44" i="8"/>
  <c r="K36" i="8" s="1"/>
  <c r="H44" i="8"/>
  <c r="H36" i="8" s="1"/>
  <c r="F44" i="8"/>
  <c r="F36" i="8" s="1"/>
  <c r="L44" i="8"/>
  <c r="L36" i="8" s="1"/>
  <c r="E44" i="8"/>
  <c r="E36" i="8" s="1"/>
  <c r="CC4" i="4"/>
  <c r="CB100" i="4"/>
  <c r="G26" i="8"/>
  <c r="G18" i="8" s="1"/>
  <c r="H26" i="8"/>
  <c r="H18" i="8" s="1"/>
  <c r="K26" i="8"/>
  <c r="K18" i="8" s="1"/>
  <c r="L26" i="8"/>
  <c r="L18" i="8" s="1"/>
  <c r="F26" i="8"/>
  <c r="F18" i="8" s="1"/>
  <c r="E26" i="8"/>
  <c r="E18" i="8" s="1"/>
  <c r="I26" i="8"/>
  <c r="I18" i="8" s="1"/>
  <c r="D26" i="8"/>
  <c r="D18" i="8" s="1"/>
  <c r="CD4" i="4"/>
  <c r="BG38" i="4"/>
  <c r="BG48" i="4"/>
  <c r="BG42" i="4"/>
  <c r="BG41" i="4"/>
  <c r="BG45" i="4"/>
  <c r="BG43" i="4"/>
  <c r="CF24" i="4" l="1"/>
  <c r="CF30" i="4"/>
  <c r="CF33" i="4"/>
  <c r="Y58" i="4"/>
  <c r="X84" i="4"/>
  <c r="V74" i="4"/>
  <c r="W64" i="4"/>
  <c r="W99" i="4"/>
  <c r="W92" i="4"/>
  <c r="W44" i="4"/>
  <c r="W30" i="4"/>
  <c r="W53" i="4"/>
  <c r="Y84" i="4"/>
  <c r="W79" i="4"/>
  <c r="V99" i="4"/>
  <c r="X75" i="4"/>
  <c r="V61" i="4"/>
  <c r="V69" i="4"/>
  <c r="X34" i="4"/>
  <c r="Y42" i="4"/>
  <c r="W48" i="4"/>
  <c r="V97" i="4"/>
  <c r="X81" i="4"/>
  <c r="W52" i="4"/>
  <c r="V63" i="4"/>
  <c r="W37" i="4"/>
  <c r="Y54" i="4"/>
  <c r="W91" i="4"/>
  <c r="X44" i="4"/>
  <c r="W20" i="4"/>
  <c r="W41" i="4"/>
  <c r="W94" i="4"/>
  <c r="W54" i="4"/>
  <c r="V43" i="4"/>
  <c r="W93" i="4"/>
  <c r="Y78" i="4"/>
  <c r="V96" i="4"/>
  <c r="V55" i="4"/>
  <c r="X54" i="4"/>
  <c r="W77" i="4"/>
  <c r="W43" i="4"/>
  <c r="X90" i="4"/>
  <c r="W89" i="4"/>
  <c r="Y45" i="4"/>
  <c r="V75" i="4"/>
  <c r="Y66" i="4"/>
  <c r="V53" i="4"/>
  <c r="W87" i="4"/>
  <c r="W95" i="4"/>
  <c r="Y50" i="4"/>
  <c r="Y61" i="4"/>
  <c r="W82" i="4"/>
  <c r="W76" i="4"/>
  <c r="W45" i="4"/>
  <c r="X43" i="4"/>
  <c r="V42" i="4"/>
  <c r="W39" i="4"/>
  <c r="X95" i="4"/>
  <c r="X65" i="4"/>
  <c r="W78" i="4"/>
  <c r="V95" i="4"/>
  <c r="X76" i="4"/>
  <c r="X42" i="4"/>
  <c r="V38" i="4"/>
  <c r="W68" i="4"/>
  <c r="Y67" i="4"/>
  <c r="X26" i="4"/>
  <c r="Y48" i="4"/>
  <c r="X97" i="4"/>
  <c r="V79" i="4"/>
  <c r="W34" i="4"/>
  <c r="Y59" i="4"/>
  <c r="W50" i="4"/>
  <c r="X74" i="4"/>
  <c r="W72" i="4"/>
  <c r="V90" i="4"/>
  <c r="W42" i="4"/>
  <c r="Y76" i="4"/>
  <c r="X89" i="4"/>
  <c r="W90" i="4"/>
  <c r="W26" i="4"/>
  <c r="Y53" i="4"/>
  <c r="W46" i="4"/>
  <c r="Y92" i="4"/>
  <c r="X28" i="4"/>
  <c r="V50" i="4"/>
  <c r="X47" i="4"/>
  <c r="W71" i="4"/>
  <c r="V66" i="4"/>
  <c r="V62" i="4"/>
  <c r="V52" i="4"/>
  <c r="W40" i="4"/>
  <c r="V67" i="4"/>
  <c r="X38" i="4"/>
  <c r="V76" i="4"/>
  <c r="Y94" i="4"/>
  <c r="Y85" i="4"/>
  <c r="V81" i="4"/>
  <c r="X71" i="4"/>
  <c r="V51" i="4"/>
  <c r="W80" i="4"/>
  <c r="V39" i="4"/>
  <c r="W51" i="4"/>
  <c r="V87" i="4"/>
  <c r="W83" i="4"/>
  <c r="X92" i="4"/>
  <c r="V45" i="4"/>
  <c r="V65" i="4"/>
  <c r="X67" i="4"/>
  <c r="Y97" i="4"/>
  <c r="Y35" i="4"/>
  <c r="V37" i="4"/>
  <c r="Y40" i="4"/>
  <c r="X21" i="4"/>
  <c r="W69" i="4"/>
  <c r="V46" i="4"/>
  <c r="W86" i="4"/>
  <c r="X50" i="4"/>
  <c r="V36" i="4"/>
  <c r="X61" i="4"/>
  <c r="W32" i="4"/>
  <c r="V49" i="4"/>
  <c r="V44" i="4"/>
  <c r="W98" i="4"/>
  <c r="V92" i="4"/>
  <c r="X39" i="4"/>
  <c r="X73" i="4"/>
  <c r="V86" i="4"/>
  <c r="Y89" i="4"/>
  <c r="W70" i="4"/>
  <c r="X32" i="4"/>
  <c r="Y51" i="4"/>
  <c r="Y65" i="4"/>
  <c r="Y55" i="4"/>
  <c r="V98" i="4"/>
  <c r="W62" i="4"/>
  <c r="V80" i="4"/>
  <c r="X41" i="4"/>
  <c r="V83" i="4"/>
  <c r="Y47" i="4"/>
  <c r="X37" i="4"/>
  <c r="X45" i="4"/>
  <c r="X94" i="4"/>
  <c r="Y77" i="4"/>
  <c r="W35" i="4"/>
  <c r="V85" i="4"/>
  <c r="V41" i="4"/>
  <c r="X33" i="4"/>
  <c r="X66" i="4"/>
  <c r="W85" i="4"/>
  <c r="V68" i="4"/>
  <c r="Y96" i="4"/>
  <c r="Y71" i="4"/>
  <c r="V82" i="4"/>
  <c r="Y75" i="4"/>
  <c r="Y99" i="4"/>
  <c r="V35" i="4"/>
  <c r="X87" i="4"/>
  <c r="X36" i="4"/>
  <c r="Y60" i="4"/>
  <c r="X79" i="4"/>
  <c r="W58" i="4"/>
  <c r="V60" i="4"/>
  <c r="Y81" i="4"/>
  <c r="X64" i="4"/>
  <c r="Y39" i="4"/>
  <c r="W81" i="4"/>
  <c r="X80" i="4"/>
  <c r="W88" i="4"/>
  <c r="X40" i="4"/>
  <c r="Y83" i="4"/>
  <c r="W97" i="4"/>
  <c r="W60" i="4"/>
  <c r="W49" i="4"/>
  <c r="W22" i="4"/>
  <c r="V58" i="4"/>
  <c r="X25" i="4"/>
  <c r="W65" i="4"/>
  <c r="W55" i="4"/>
  <c r="X82" i="4"/>
  <c r="X70" i="4"/>
  <c r="V71" i="4"/>
  <c r="Y95" i="4"/>
  <c r="Y70" i="4"/>
  <c r="W31" i="4"/>
  <c r="V57" i="4"/>
  <c r="X63" i="4"/>
  <c r="V64" i="4"/>
  <c r="Y93" i="4"/>
  <c r="W57" i="4"/>
  <c r="Y90" i="4"/>
  <c r="W67" i="4"/>
  <c r="X48" i="4"/>
  <c r="V91" i="4"/>
  <c r="X88" i="4"/>
  <c r="W27" i="4"/>
  <c r="W28" i="4"/>
  <c r="X49" i="4"/>
  <c r="X72" i="4"/>
  <c r="Y91" i="4"/>
  <c r="Y49" i="4"/>
  <c r="Y52" i="4"/>
  <c r="Y46" i="4"/>
  <c r="V72" i="4"/>
  <c r="W74" i="4"/>
  <c r="Y72" i="4"/>
  <c r="X60" i="4"/>
  <c r="Y88" i="4"/>
  <c r="X59" i="4"/>
  <c r="W21" i="4"/>
  <c r="X56" i="4"/>
  <c r="X51" i="4"/>
  <c r="W61" i="4"/>
  <c r="X20" i="4"/>
  <c r="X68" i="4"/>
  <c r="Y62" i="4"/>
  <c r="Y63" i="4"/>
  <c r="Y82" i="4"/>
  <c r="X78" i="4"/>
  <c r="Y73" i="4"/>
  <c r="V73" i="4"/>
  <c r="W96" i="4"/>
  <c r="W84" i="4"/>
  <c r="W59" i="4"/>
  <c r="X77" i="4"/>
  <c r="V40" i="4"/>
  <c r="Y98" i="4"/>
  <c r="Y38" i="4"/>
  <c r="X35" i="4"/>
  <c r="W66" i="4"/>
  <c r="Y57" i="4"/>
  <c r="X57" i="4"/>
  <c r="X83" i="4"/>
  <c r="X99" i="4"/>
  <c r="Y43" i="4"/>
  <c r="V56" i="4"/>
  <c r="Y36" i="4"/>
  <c r="X53" i="4"/>
  <c r="W23" i="4"/>
  <c r="X96" i="4"/>
  <c r="Y79" i="4"/>
  <c r="X58" i="4"/>
  <c r="V47" i="4"/>
  <c r="Y56" i="4"/>
  <c r="X46" i="4"/>
  <c r="W47" i="4"/>
  <c r="X30" i="4"/>
  <c r="V84" i="4"/>
  <c r="V59" i="4"/>
  <c r="Y86" i="4"/>
  <c r="X86" i="4"/>
  <c r="X23" i="4"/>
  <c r="W75" i="4"/>
  <c r="Y74" i="4"/>
  <c r="X27" i="4"/>
  <c r="Y64" i="4"/>
  <c r="X69" i="4"/>
  <c r="W73" i="4"/>
  <c r="W56" i="4"/>
  <c r="Y41" i="4"/>
  <c r="V89" i="4"/>
  <c r="X62" i="4"/>
  <c r="V77" i="4"/>
  <c r="V94" i="4"/>
  <c r="X91" i="4"/>
  <c r="V54" i="4"/>
  <c r="V93" i="4"/>
  <c r="Y68" i="4"/>
  <c r="W24" i="4"/>
  <c r="X93" i="4"/>
  <c r="Y69" i="4"/>
  <c r="X22" i="4"/>
  <c r="X29" i="4"/>
  <c r="Y37" i="4"/>
  <c r="W38" i="4"/>
  <c r="W33" i="4"/>
  <c r="V78" i="4"/>
  <c r="Y87" i="4"/>
  <c r="V70" i="4"/>
  <c r="Y44" i="4"/>
  <c r="X55" i="4"/>
  <c r="Y80" i="4"/>
  <c r="X24" i="4"/>
  <c r="X85" i="4"/>
  <c r="W25" i="4"/>
  <c r="X52" i="4"/>
  <c r="V48" i="4"/>
  <c r="W29" i="4"/>
  <c r="V88" i="4"/>
  <c r="W63" i="4"/>
  <c r="X31" i="4"/>
  <c r="W36" i="4"/>
  <c r="X98" i="4"/>
  <c r="AK4" i="4"/>
  <c r="AJ8" i="4"/>
  <c r="CF25" i="4"/>
  <c r="CF22" i="4"/>
  <c r="CF34" i="4"/>
  <c r="CF28" i="4"/>
  <c r="CF32" i="4"/>
  <c r="CF31" i="4"/>
  <c r="CF21" i="4"/>
  <c r="CF26" i="4"/>
  <c r="CF23" i="4"/>
  <c r="CF27" i="4"/>
  <c r="CF29" i="4"/>
  <c r="CF20" i="4"/>
  <c r="AH8" i="4"/>
  <c r="AI4" i="4"/>
  <c r="CC6" i="4"/>
  <c r="CG30" i="4" s="1"/>
  <c r="CC17" i="4"/>
  <c r="CE30" i="4" s="1"/>
  <c r="CC8" i="4"/>
  <c r="AM13" i="4"/>
  <c r="CL30" i="4" l="1"/>
  <c r="V30" i="4" s="1"/>
  <c r="CI30" i="4"/>
  <c r="AI8" i="4"/>
  <c r="AI12" i="4"/>
  <c r="AK8" i="4"/>
  <c r="CC12" i="4"/>
  <c r="CC13" i="4" s="1"/>
  <c r="CG31" i="4"/>
  <c r="CG26" i="4"/>
  <c r="CG20" i="4"/>
  <c r="CG32" i="4"/>
  <c r="CG23" i="4"/>
  <c r="CG21" i="4"/>
  <c r="CG27" i="4"/>
  <c r="CG29" i="4"/>
  <c r="CG33" i="4"/>
  <c r="CG25" i="4"/>
  <c r="CG24" i="4"/>
  <c r="CG28" i="4"/>
  <c r="CG22" i="4"/>
  <c r="CG34" i="4"/>
  <c r="CD17" i="4"/>
  <c r="CE28" i="4"/>
  <c r="CE23" i="4"/>
  <c r="CE25" i="4"/>
  <c r="CE29" i="4"/>
  <c r="CE24" i="4"/>
  <c r="CE27" i="4"/>
  <c r="CE20" i="4"/>
  <c r="CE26" i="4"/>
  <c r="CE22" i="4"/>
  <c r="CE31" i="4"/>
  <c r="CE33" i="4"/>
  <c r="CE32" i="4"/>
  <c r="CE21" i="4"/>
  <c r="CE34" i="4"/>
  <c r="V18" i="4" l="1"/>
  <c r="CL31" i="4"/>
  <c r="V31" i="4" s="1"/>
  <c r="CI31" i="4"/>
  <c r="CL23" i="4"/>
  <c r="V23" i="4" s="1"/>
  <c r="CI23" i="4"/>
  <c r="CL22" i="4"/>
  <c r="V22" i="4" s="1"/>
  <c r="CI22" i="4"/>
  <c r="CL28" i="4"/>
  <c r="V28" i="4" s="1"/>
  <c r="CI28" i="4"/>
  <c r="CL26" i="4"/>
  <c r="V26" i="4" s="1"/>
  <c r="CI26" i="4"/>
  <c r="CN50" i="4"/>
  <c r="CN33" i="4"/>
  <c r="CN30" i="4"/>
  <c r="CN73" i="4"/>
  <c r="CN39" i="4"/>
  <c r="CN61" i="4"/>
  <c r="CN64" i="4"/>
  <c r="CN21" i="4"/>
  <c r="CN57" i="4"/>
  <c r="CN43" i="4"/>
  <c r="CN29" i="4"/>
  <c r="CN56" i="4"/>
  <c r="CN35" i="4"/>
  <c r="CN62" i="4"/>
  <c r="CN77" i="4"/>
  <c r="CN78" i="4"/>
  <c r="CN83" i="4"/>
  <c r="CN95" i="4"/>
  <c r="CN25" i="4"/>
  <c r="CE17" i="4"/>
  <c r="CN34" i="4"/>
  <c r="CN60" i="4"/>
  <c r="CN48" i="4"/>
  <c r="CN90" i="4"/>
  <c r="CN53" i="4"/>
  <c r="CN82" i="4"/>
  <c r="CN86" i="4"/>
  <c r="CN52" i="4"/>
  <c r="CN49" i="4"/>
  <c r="CN26" i="4"/>
  <c r="CN51" i="4"/>
  <c r="CN88" i="4"/>
  <c r="CN69" i="4"/>
  <c r="CN24" i="4"/>
  <c r="CN79" i="4"/>
  <c r="CN45" i="4"/>
  <c r="CN59" i="4"/>
  <c r="CN38" i="4"/>
  <c r="CN67" i="4"/>
  <c r="CN92" i="4"/>
  <c r="CN94" i="4"/>
  <c r="CN20" i="4"/>
  <c r="CN65" i="4"/>
  <c r="CN32" i="4"/>
  <c r="CN71" i="4"/>
  <c r="CN40" i="4"/>
  <c r="CN23" i="4"/>
  <c r="CN42" i="4"/>
  <c r="CN93" i="4"/>
  <c r="CN85" i="4"/>
  <c r="CN98" i="4"/>
  <c r="CN97" i="4"/>
  <c r="CN31" i="4"/>
  <c r="CN55" i="4"/>
  <c r="CN47" i="4"/>
  <c r="CN74" i="4"/>
  <c r="CN41" i="4"/>
  <c r="CN91" i="4"/>
  <c r="CN27" i="4"/>
  <c r="CN44" i="4"/>
  <c r="CN70" i="4"/>
  <c r="CN46" i="4"/>
  <c r="CN81" i="4"/>
  <c r="CN54" i="4"/>
  <c r="CN75" i="4"/>
  <c r="CN36" i="4"/>
  <c r="CN58" i="4"/>
  <c r="CN68" i="4"/>
  <c r="CN72" i="4"/>
  <c r="CN76" i="4"/>
  <c r="CN80" i="4"/>
  <c r="CN37" i="4"/>
  <c r="CN22" i="4"/>
  <c r="CN99" i="4"/>
  <c r="CN63" i="4"/>
  <c r="CN87" i="4"/>
  <c r="CN66" i="4"/>
  <c r="CN28" i="4"/>
  <c r="CN96" i="4"/>
  <c r="CN89" i="4"/>
  <c r="CN84" i="4"/>
  <c r="AI13" i="4"/>
  <c r="Y4" i="4"/>
  <c r="CL20" i="4"/>
  <c r="V20" i="4" s="1"/>
  <c r="CI20" i="4"/>
  <c r="CL34" i="4"/>
  <c r="V34" i="4" s="1"/>
  <c r="CI34" i="4"/>
  <c r="CL27" i="4"/>
  <c r="V27" i="4" s="1"/>
  <c r="CI27" i="4"/>
  <c r="CL21" i="4"/>
  <c r="V21" i="4" s="1"/>
  <c r="CI21" i="4"/>
  <c r="CL24" i="4"/>
  <c r="V24" i="4" s="1"/>
  <c r="CI24" i="4"/>
  <c r="CL32" i="4"/>
  <c r="V32" i="4" s="1"/>
  <c r="CI32" i="4"/>
  <c r="CL29" i="4"/>
  <c r="V29" i="4" s="1"/>
  <c r="CI29" i="4"/>
  <c r="CL33" i="4"/>
  <c r="V33" i="4" s="1"/>
  <c r="CI33" i="4"/>
  <c r="CL25" i="4"/>
  <c r="V25" i="4" s="1"/>
  <c r="CI25" i="4"/>
  <c r="Y13" i="4" l="1"/>
  <c r="CD6" i="4"/>
  <c r="CH30" i="4" s="1"/>
  <c r="BG30" i="4" s="1"/>
  <c r="AN13" i="4"/>
  <c r="CD8" i="4"/>
  <c r="CJ30" i="4" s="1"/>
  <c r="Y30" i="4" s="1"/>
  <c r="CN100" i="4"/>
  <c r="CJ24" i="4" l="1"/>
  <c r="Y24" i="4" s="1"/>
  <c r="CJ26" i="4"/>
  <c r="Y26" i="4" s="1"/>
  <c r="CJ32" i="4"/>
  <c r="Y32" i="4" s="1"/>
  <c r="CJ22" i="4"/>
  <c r="Y22" i="4" s="1"/>
  <c r="CJ25" i="4"/>
  <c r="Y25" i="4" s="1"/>
  <c r="CJ27" i="4"/>
  <c r="Y27" i="4" s="1"/>
  <c r="CJ21" i="4"/>
  <c r="Y21" i="4" s="1"/>
  <c r="CJ28" i="4"/>
  <c r="Y28" i="4" s="1"/>
  <c r="CJ31" i="4"/>
  <c r="Y31" i="4" s="1"/>
  <c r="CJ33" i="4"/>
  <c r="Y33" i="4" s="1"/>
  <c r="CJ23" i="4"/>
  <c r="Y23" i="4" s="1"/>
  <c r="CJ34" i="4"/>
  <c r="Y34" i="4" s="1"/>
  <c r="CJ20" i="4"/>
  <c r="Y20" i="4" s="1"/>
  <c r="CJ29" i="4"/>
  <c r="Y29" i="4" s="1"/>
  <c r="CD12" i="4"/>
  <c r="CD13" i="4" s="1"/>
  <c r="CH20" i="4"/>
  <c r="BG20" i="4" s="1"/>
  <c r="CH21" i="4"/>
  <c r="BG21" i="4" s="1"/>
  <c r="CH29" i="4"/>
  <c r="BG29" i="4" s="1"/>
  <c r="CH31" i="4"/>
  <c r="BG31" i="4" s="1"/>
  <c r="CH32" i="4"/>
  <c r="BG32" i="4" s="1"/>
  <c r="CH23" i="4"/>
  <c r="BG23" i="4" s="1"/>
  <c r="CH27" i="4"/>
  <c r="BG27" i="4" s="1"/>
  <c r="CH26" i="4"/>
  <c r="BG26" i="4" s="1"/>
  <c r="CH22" i="4"/>
  <c r="BG22" i="4" s="1"/>
  <c r="CH33" i="4"/>
  <c r="BG33" i="4" s="1"/>
  <c r="CH34" i="4"/>
  <c r="BG34" i="4" s="1"/>
  <c r="CH28" i="4"/>
  <c r="BG28" i="4" s="1"/>
  <c r="CH24" i="4"/>
  <c r="BG24" i="4" s="1"/>
  <c r="CH25" i="4"/>
  <c r="BG25" i="4" s="1"/>
  <c r="X101" i="4" l="1"/>
  <c r="BG18" i="4"/>
  <c r="Y101" i="4" s="1"/>
  <c r="X1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tc={F280091B-F37D-44D6-8265-BA30D2815902}</author>
    <author>tc={000EB859-CC1E-422C-A4DF-A50FC3672055}</author>
  </authors>
  <commentList>
    <comment ref="B4" authorId="0" shapeId="0" xr:uid="{00000000-0006-0000-0000-000001000000}">
      <text>
        <r>
          <rPr>
            <b/>
            <sz val="12"/>
            <color indexed="81"/>
            <rFont val="Arial"/>
            <family val="2"/>
          </rPr>
          <t>Tip:</t>
        </r>
        <r>
          <rPr>
            <sz val="12"/>
            <color indexed="81"/>
            <rFont val="Arial"/>
            <family val="2"/>
          </rPr>
          <t xml:space="preserve">
Note that results will not display until you have entered a name for the dwelling.</t>
        </r>
      </text>
    </comment>
    <comment ref="AH4" authorId="1" shapeId="0" xr:uid="{00000000-0006-0000-00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J4" authorId="1" shapeId="0" xr:uid="{00000000-0006-0000-00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BA4" authorId="1" shapeId="0" xr:uid="{00000000-0006-0000-00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C4" authorId="1" shapeId="0" xr:uid="{00000000-0006-0000-00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K6" authorId="0" shapeId="0" xr:uid="{00000000-0006-0000-0000-000006000000}">
      <text>
        <r>
          <rPr>
            <b/>
            <sz val="12"/>
            <color indexed="81"/>
            <rFont val="Arial"/>
            <family val="2"/>
          </rPr>
          <t xml:space="preserve">Tip: You must select the number of storeys
</t>
        </r>
        <r>
          <rPr>
            <sz val="12"/>
            <color indexed="81"/>
            <rFont val="Arial"/>
            <family val="2"/>
          </rPr>
          <t xml:space="preserve">For single storey enter </t>
        </r>
        <r>
          <rPr>
            <i/>
            <sz val="12"/>
            <color indexed="81"/>
            <rFont val="Arial"/>
            <family val="2"/>
          </rPr>
          <t>One</t>
        </r>
        <r>
          <rPr>
            <sz val="12"/>
            <color indexed="81"/>
            <rFont val="Arial"/>
            <family val="2"/>
          </rPr>
          <t xml:space="preserve">
For all other mutliple storey dwellings enter</t>
        </r>
        <r>
          <rPr>
            <i/>
            <sz val="12"/>
            <color indexed="81"/>
            <rFont val="Arial"/>
            <family val="2"/>
          </rPr>
          <t>Two or more.</t>
        </r>
      </text>
    </comment>
    <comment ref="AH6" authorId="0" shapeId="0" xr:uid="{00000000-0006-0000-0000-000007000000}">
      <text>
        <r>
          <rPr>
            <b/>
            <sz val="9"/>
            <color indexed="81"/>
            <rFont val="Tahoma"/>
            <family val="2"/>
          </rPr>
          <t>tony isaacs:</t>
        </r>
        <r>
          <rPr>
            <sz val="9"/>
            <color indexed="81"/>
            <rFont val="Tahoma"/>
            <family val="2"/>
          </rPr>
          <t xml:space="preserve">
Fixed to 1</t>
        </r>
      </text>
    </comment>
    <comment ref="AI6" authorId="1" shapeId="0" xr:uid="{00000000-0006-0000-0000-000008000000}">
      <text>
        <r>
          <rPr>
            <b/>
            <sz val="8"/>
            <color indexed="81"/>
            <rFont val="Tahoma"/>
            <family val="2"/>
          </rPr>
          <t>Bruce Lightfoot:</t>
        </r>
        <r>
          <rPr>
            <sz val="8"/>
            <color indexed="81"/>
            <rFont val="Tahoma"/>
            <family val="2"/>
          </rPr>
          <t xml:space="preserve">
Fixed to Std</t>
        </r>
      </text>
    </comment>
    <comment ref="AJ6" authorId="1" shapeId="0" xr:uid="{00000000-0006-0000-00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K6" authorId="1" shapeId="0" xr:uid="{00000000-0006-0000-0000-00000A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E7" authorId="0" shapeId="0" xr:uid="{00000000-0006-0000-0000-00000B000000}">
      <text>
        <r>
          <rPr>
            <b/>
            <sz val="12"/>
            <color indexed="81"/>
            <rFont val="Arial"/>
            <family val="2"/>
          </rPr>
          <t>Tip:</t>
        </r>
        <r>
          <rPr>
            <sz val="12"/>
            <color indexed="81"/>
            <rFont val="Arial"/>
            <family val="2"/>
          </rPr>
          <t xml:space="preserve">
Typically a Concrete Slab on Ground or a Waffle Pod Slab. The underside of the floor must be in contract with the ground. </t>
        </r>
        <r>
          <rPr>
            <b/>
            <i/>
            <sz val="12"/>
            <color indexed="81"/>
            <rFont val="Arial"/>
            <family val="2"/>
          </rPr>
          <t>Do not include the area of garage spaces</t>
        </r>
        <r>
          <rPr>
            <sz val="12"/>
            <color indexed="81"/>
            <rFont val="Arial"/>
            <family val="2"/>
          </rPr>
          <t xml:space="preserve"> unless they are heated and/or cooled.</t>
        </r>
      </text>
    </comment>
    <comment ref="F7" authorId="0" shapeId="0" xr:uid="{00000000-0006-0000-0000-00000C000000}">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E8" authorId="0" shapeId="0" xr:uid="{00000000-0006-0000-0000-00000D000000}">
      <text>
        <r>
          <rPr>
            <b/>
            <sz val="12"/>
            <color indexed="81"/>
            <rFont val="Arial"/>
            <family val="2"/>
          </rPr>
          <t>Tip:</t>
        </r>
        <r>
          <rPr>
            <sz val="12"/>
            <color indexed="81"/>
            <rFont val="Arial"/>
            <family val="2"/>
          </rPr>
          <t xml:space="preserve">
Typically a timber floor over a subfloor or over outdoor air. A concrete slab which is structurally designed to span between beams is often called a "suspended slab", but may still be in contact with the ground. If it is in contact with the ground, it is  a direct contact floor. Only concrete slabs over a subfloor space or the outdoor air are suspended.</t>
        </r>
      </text>
    </comment>
    <comment ref="F8" authorId="0" shapeId="0" xr:uid="{00000000-0006-0000-0000-00000E000000}">
      <text>
        <r>
          <rPr>
            <b/>
            <sz val="12"/>
            <color indexed="81"/>
            <rFont val="Arial"/>
            <family val="2"/>
          </rPr>
          <t>Tip:</t>
        </r>
        <r>
          <rPr>
            <sz val="12"/>
            <color indexed="81"/>
            <rFont val="Arial"/>
            <family val="2"/>
          </rPr>
          <t xml:space="preserve">
The floor area is measured to the inside of both internal and external walls.
A suspended floor (including a timber or steel framed floor or a suspended concrete slab).
Type area as a whole number without m2 label.</t>
        </r>
      </text>
    </comment>
    <comment ref="AH8" authorId="1" shapeId="0" xr:uid="{00000000-0006-0000-0000-00000F000000}">
      <text>
        <r>
          <rPr>
            <b/>
            <sz val="8"/>
            <color indexed="81"/>
            <rFont val="Tahoma"/>
            <family val="2"/>
          </rPr>
          <t>Bruce Lightfoot:</t>
        </r>
        <r>
          <rPr>
            <sz val="8"/>
            <color indexed="81"/>
            <rFont val="Tahoma"/>
            <family val="2"/>
          </rPr>
          <t xml:space="preserve">
Reviewed and considered suitable for retention.</t>
        </r>
      </text>
    </comment>
    <comment ref="AI8" authorId="1" shapeId="0" xr:uid="{00000000-0006-0000-0000-000010000000}">
      <text>
        <r>
          <rPr>
            <b/>
            <sz val="8"/>
            <color indexed="81"/>
            <rFont val="Tahoma"/>
            <family val="2"/>
          </rPr>
          <t>Bruce Lightfoot:</t>
        </r>
        <r>
          <rPr>
            <sz val="8"/>
            <color indexed="81"/>
            <rFont val="Tahoma"/>
            <family val="2"/>
          </rPr>
          <t xml:space="preserve">
Reviewed and considered suitable for retention.</t>
        </r>
      </text>
    </comment>
    <comment ref="AH11" authorId="0" shapeId="0" xr:uid="{00000000-0006-0000-0000-000011000000}">
      <text>
        <r>
          <rPr>
            <b/>
            <sz val="9"/>
            <color indexed="81"/>
            <rFont val="Tahoma"/>
            <family val="2"/>
          </rPr>
          <t>tony isaacs:</t>
        </r>
        <r>
          <rPr>
            <sz val="9"/>
            <color indexed="81"/>
            <rFont val="Tahoma"/>
            <family val="2"/>
          </rPr>
          <t xml:space="preserve">
If Slab floor (direct contact) is &gt;=50% is slab, otherwise timber (suspended)
</t>
        </r>
      </text>
    </comment>
    <comment ref="E12" authorId="0" shapeId="0" xr:uid="{00000000-0006-0000-0000-000012000000}">
      <text>
        <r>
          <rPr>
            <b/>
            <sz val="12"/>
            <color indexed="81"/>
            <rFont val="Arial"/>
            <family val="2"/>
          </rPr>
          <t xml:space="preserve">Tip:
</t>
        </r>
        <r>
          <rPr>
            <sz val="12"/>
            <color indexed="81"/>
            <rFont val="Arial"/>
            <family val="2"/>
          </rPr>
          <t>These floors represent floors to rooms on upper levels that are over other rooms in the dwelling. If a floor on an upper level is over the outdoor air, include the area of this floor in suspended above.</t>
        </r>
      </text>
    </comment>
    <comment ref="F12" authorId="0" shapeId="0" xr:uid="{00000000-0006-0000-0000-000013000000}">
      <text>
        <r>
          <rPr>
            <b/>
            <sz val="12"/>
            <color indexed="81"/>
            <rFont val="Arial"/>
            <family val="2"/>
          </rPr>
          <t>Tip:</t>
        </r>
        <r>
          <rPr>
            <sz val="12"/>
            <color indexed="81"/>
            <rFont val="Arial"/>
            <family val="2"/>
          </rPr>
          <t xml:space="preserve">
The floor area is measured to the inside of both internal and external walls.
Type area as a whole number without m2 label.</t>
        </r>
      </text>
    </comment>
    <comment ref="X12" authorId="1" shapeId="0" xr:uid="{00000000-0006-0000-0000-000014000000}">
      <text>
        <r>
          <rPr>
            <b/>
            <sz val="12"/>
            <color indexed="81"/>
            <rFont val="Arial"/>
            <family val="2"/>
          </rPr>
          <t xml:space="preserve">NCC Reference:
</t>
        </r>
        <r>
          <rPr>
            <sz val="12"/>
            <color indexed="81"/>
            <rFont val="Arial"/>
            <family val="2"/>
          </rPr>
          <t>13.3.2 (1)
Cu only for zones 2-8.</t>
        </r>
      </text>
    </comment>
    <comment ref="BA12" authorId="1" shapeId="0" xr:uid="{00000000-0006-0000-0000-000015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P14" authorId="0" shapeId="0" xr:uid="{00000000-0006-0000-0000-000016000000}">
      <text>
        <r>
          <rPr>
            <b/>
            <sz val="9"/>
            <color indexed="81"/>
            <rFont val="Tahoma"/>
            <family val="2"/>
          </rPr>
          <t>tony isaacs:</t>
        </r>
        <r>
          <rPr>
            <sz val="9"/>
            <color indexed="81"/>
            <rFont val="Tahoma"/>
            <family val="2"/>
          </rPr>
          <t xml:space="preserve">
If slab area is &gt;= 50%, the factors and targets chosen are for slab floor (Direct Cintact). Id &lt;50%, the timber floor (Suspended).</t>
        </r>
      </text>
    </comment>
    <comment ref="F15" authorId="1" shapeId="0" xr:uid="{00000000-0006-0000-0000-000017000000}">
      <text>
        <r>
          <rPr>
            <b/>
            <sz val="12"/>
            <color indexed="81"/>
            <rFont val="Arial"/>
            <family val="2"/>
          </rPr>
          <t>Tip:</t>
        </r>
        <r>
          <rPr>
            <sz val="12"/>
            <color indexed="81"/>
            <rFont val="Arial"/>
            <family val="2"/>
          </rPr>
          <t xml:space="preserve">
Type the number of rows preferred (max 80) and press Enter or Tab to leave the cell. Follow the instruction that pops up beside this cell.</t>
        </r>
      </text>
    </comment>
    <comment ref="AB15" authorId="1" shapeId="0" xr:uid="{00000000-0006-0000-0000-000018000000}">
      <text>
        <r>
          <rPr>
            <b/>
            <sz val="8"/>
            <color indexed="81"/>
            <rFont val="Tahoma"/>
            <family val="2"/>
          </rPr>
          <t>Bruce Lightfoot:</t>
        </r>
        <r>
          <rPr>
            <sz val="8"/>
            <color indexed="81"/>
            <rFont val="Tahoma"/>
            <family val="2"/>
          </rPr>
          <t xml:space="preserve">
Font size in this cell sets height of this row for calculator form.</t>
        </r>
      </text>
    </comment>
    <comment ref="AI15" authorId="1" shapeId="0" xr:uid="{00000000-0006-0000-0000-000019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C17" authorId="1" shapeId="0" xr:uid="{00000000-0006-0000-0000-00001A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T17" authorId="1" shapeId="0" xr:uid="{00000000-0006-0000-0000-00001B000000}">
      <text>
        <r>
          <rPr>
            <b/>
            <sz val="8"/>
            <color indexed="81"/>
            <rFont val="Tahoma"/>
            <family val="2"/>
          </rPr>
          <t>Bruce Lightfoot:</t>
        </r>
        <r>
          <rPr>
            <sz val="8"/>
            <color indexed="81"/>
            <rFont val="Tahoma"/>
            <family val="2"/>
          </rPr>
          <t xml:space="preserve">
Tests can return TRUE only when a valid element size has been given.</t>
        </r>
      </text>
    </comment>
    <comment ref="AX17" authorId="1" shapeId="0" xr:uid="{00000000-0006-0000-0000-00001C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000-00001D000000}">
      <text>
        <r>
          <rPr>
            <b/>
            <sz val="12"/>
            <color indexed="81"/>
            <rFont val="Arial"/>
            <family val="2"/>
          </rPr>
          <t>Tip:</t>
        </r>
        <r>
          <rPr>
            <sz val="12"/>
            <color indexed="81"/>
            <rFont val="Arial"/>
            <family val="2"/>
          </rPr>
          <t xml:space="preserve">
The arrow below controls the number of rows displayed in the table.
</t>
        </r>
        <r>
          <rPr>
            <b/>
            <sz val="12"/>
            <color indexed="81"/>
            <rFont val="Arial"/>
            <family val="2"/>
          </rPr>
          <t>First set the number of rows preferred above the table.</t>
        </r>
        <r>
          <rPr>
            <sz val="12"/>
            <color indexed="81"/>
            <rFont val="Arial"/>
            <family val="2"/>
          </rPr>
          <t xml:space="preserve"> Then click the arrow and select the single number set from the drop down list. </t>
        </r>
      </text>
    </comment>
    <comment ref="AO18" authorId="1" shapeId="0" xr:uid="{00000000-0006-0000-0000-00001E000000}">
      <text>
        <r>
          <rPr>
            <b/>
            <sz val="8"/>
            <color indexed="81"/>
            <rFont val="Tahoma"/>
            <family val="2"/>
          </rPr>
          <t>Bruce Lightfoot:</t>
        </r>
        <r>
          <rPr>
            <sz val="8"/>
            <color indexed="81"/>
            <rFont val="Tahoma"/>
            <family val="2"/>
          </rPr>
          <t xml:space="preserve">
No count since column below is for conditional formatting only.</t>
        </r>
      </text>
    </comment>
    <comment ref="CA18" authorId="1" shapeId="0" xr:uid="{00000000-0006-0000-0000-00001F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L18" authorId="1" shapeId="0" xr:uid="{00000000-0006-0000-0000-000020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M18" authorId="1" shapeId="0" xr:uid="{00000000-0006-0000-0000-000021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N18" authorId="1" shapeId="0" xr:uid="{00000000-0006-0000-0000-000022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000-000023000000}">
      <text>
        <r>
          <rPr>
            <b/>
            <sz val="12"/>
            <color indexed="81"/>
            <rFont val="Arial"/>
            <family val="2"/>
          </rPr>
          <t>Tip:</t>
        </r>
        <r>
          <rPr>
            <sz val="12"/>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000-000024000000}">
      <text>
        <r>
          <rPr>
            <b/>
            <sz val="12"/>
            <color indexed="81"/>
            <rFont val="Arial"/>
            <family val="2"/>
          </rPr>
          <t>Tip:</t>
        </r>
        <r>
          <rPr>
            <sz val="12"/>
            <color indexed="81"/>
            <rFont val="Arial"/>
            <family val="2"/>
          </rPr>
          <t xml:space="preserve">
This column can be used for (short) descriptions such as location (e.g. the room the window is in) or window type.</t>
        </r>
      </text>
    </comment>
    <comment ref="F19" authorId="1" shapeId="0" xr:uid="{00000000-0006-0000-0000-000025000000}">
      <text>
        <r>
          <rPr>
            <b/>
            <sz val="12"/>
            <color indexed="81"/>
            <rFont val="Arial"/>
            <family val="2"/>
          </rPr>
          <t xml:space="preserve">NCC reference: 
</t>
        </r>
        <r>
          <rPr>
            <sz val="12"/>
            <color indexed="81"/>
            <rFont val="Arial"/>
            <family val="2"/>
          </rPr>
          <t xml:space="preserve">ABCB Housing Provisions Standard Figure 13.3.2a
</t>
        </r>
        <r>
          <rPr>
            <b/>
            <sz val="12"/>
            <color indexed="81"/>
            <rFont val="Arial"/>
            <family val="2"/>
          </rPr>
          <t>Tip:</t>
        </r>
        <r>
          <rPr>
            <sz val="12"/>
            <color indexed="81"/>
            <rFont val="Arial"/>
            <family val="2"/>
          </rPr>
          <t xml:space="preserve">
Use the initials of the orientation sectors shown in Figure 13.3.2a: Orientation sectors (N, NE, E, etc). A drop down list is available when inputs above this table are complete.</t>
        </r>
      </text>
    </comment>
    <comment ref="G19" authorId="1" shapeId="0" xr:uid="{00000000-0006-0000-0000-000026000000}">
      <text>
        <r>
          <rPr>
            <b/>
            <sz val="12"/>
            <color indexed="81"/>
            <rFont val="Arial"/>
            <family val="2"/>
          </rPr>
          <t>Tip:</t>
        </r>
        <r>
          <rPr>
            <sz val="12"/>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2"/>
            <color indexed="81"/>
            <rFont val="Arial"/>
            <family val="2"/>
          </rPr>
          <t>In all cases, include the area of frames.</t>
        </r>
      </text>
    </comment>
    <comment ref="I19" authorId="1" shapeId="0" xr:uid="{00000000-0006-0000-0000-000027000000}">
      <text>
        <r>
          <rPr>
            <b/>
            <sz val="12"/>
            <color indexed="81"/>
            <rFont val="Arial"/>
            <family val="2"/>
          </rPr>
          <t>Tip:</t>
        </r>
        <r>
          <rPr>
            <sz val="12"/>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2"/>
            <color indexed="81"/>
            <rFont val="Arial"/>
            <family val="2"/>
          </rPr>
          <t>This is essential for non-rectangular shapes.</t>
        </r>
      </text>
    </comment>
    <comment ref="J19" authorId="0" shapeId="0" xr:uid="{00000000-0006-0000-0000-000028000000}">
      <text>
        <r>
          <rPr>
            <b/>
            <sz val="12"/>
            <color indexed="81"/>
            <rFont val="Arial"/>
            <family val="2"/>
          </rPr>
          <t xml:space="preserve">Tip: You must select a value for each window
Bedroom: 
</t>
        </r>
        <r>
          <rPr>
            <sz val="12"/>
            <color indexed="81"/>
            <rFont val="Arial"/>
            <family val="2"/>
          </rPr>
          <t xml:space="preserve">A sleeping area, or any adjacent space that can only be accessed from a bedroom. </t>
        </r>
        <r>
          <rPr>
            <b/>
            <sz val="12"/>
            <color indexed="81"/>
            <rFont val="Arial"/>
            <family val="2"/>
          </rPr>
          <t xml:space="preserve">
Utility:
</t>
        </r>
        <r>
          <rPr>
            <sz val="12"/>
            <color indexed="81"/>
            <rFont val="Arial"/>
            <family val="2"/>
          </rPr>
          <t xml:space="preserve">A laundry, bathroom or WC that has no central space conditioning. </t>
        </r>
        <r>
          <rPr>
            <b/>
            <sz val="12"/>
            <color indexed="81"/>
            <rFont val="Arial"/>
            <family val="2"/>
          </rPr>
          <t xml:space="preserve">
Other:
</t>
        </r>
        <r>
          <rPr>
            <sz val="12"/>
            <color indexed="81"/>
            <rFont val="Arial"/>
            <family val="2"/>
          </rPr>
          <t>A living space, hallway, study, dining room, kitchen etc. that is not solely accessed from a bedroom. Any other type of space that is not bedroom or utility.</t>
        </r>
        <r>
          <rPr>
            <b/>
            <sz val="12"/>
            <color indexed="81"/>
            <rFont val="Arial"/>
            <family val="2"/>
          </rPr>
          <t xml:space="preserve"> </t>
        </r>
      </text>
    </comment>
    <comment ref="K19" authorId="0" shapeId="0" xr:uid="{00000000-0006-0000-0000-000029000000}">
      <text>
        <r>
          <rPr>
            <b/>
            <sz val="12"/>
            <color indexed="81"/>
            <rFont val="Arial"/>
            <family val="2"/>
          </rPr>
          <t xml:space="preserve">Tip: You must select value for each window
</t>
        </r>
        <r>
          <rPr>
            <sz val="12"/>
            <color indexed="81"/>
            <rFont val="Arial"/>
            <family val="2"/>
          </rPr>
          <t>This data entry enables Glazing Calculations for the whole dwelling rather than level by level</t>
        </r>
        <r>
          <rPr>
            <b/>
            <sz val="12"/>
            <color indexed="81"/>
            <rFont val="Arial"/>
            <family val="2"/>
          </rPr>
          <t xml:space="preserve">
</t>
        </r>
        <r>
          <rPr>
            <sz val="12"/>
            <color indexed="81"/>
            <rFont val="Arial"/>
            <family val="2"/>
          </rPr>
          <t xml:space="preserve">
There are three options:
</t>
        </r>
        <r>
          <rPr>
            <b/>
            <sz val="12"/>
            <color indexed="81"/>
            <rFont val="Arial"/>
            <family val="2"/>
          </rPr>
          <t>Ground Direct</t>
        </r>
        <r>
          <rPr>
            <sz val="12"/>
            <color indexed="81"/>
            <rFont val="Arial"/>
            <family val="2"/>
          </rPr>
          <t xml:space="preserve">: the floor is on the lowest level in the dwelling and is in direct contact with the ground,
</t>
        </r>
        <r>
          <rPr>
            <b/>
            <sz val="12"/>
            <color indexed="81"/>
            <rFont val="Arial"/>
            <family val="2"/>
          </rPr>
          <t>Ground Suspended</t>
        </r>
        <r>
          <rPr>
            <sz val="12"/>
            <color indexed="81"/>
            <rFont val="Arial"/>
            <family val="2"/>
          </rPr>
          <t xml:space="preserve">: the floor is on the lowest level in the dwelling and is over a subfloor space or outdoor air,
</t>
        </r>
        <r>
          <rPr>
            <b/>
            <sz val="12"/>
            <color indexed="81"/>
            <rFont val="Arial"/>
            <family val="2"/>
          </rPr>
          <t>Upper</t>
        </r>
        <r>
          <rPr>
            <sz val="12"/>
            <color indexed="81"/>
            <rFont val="Arial"/>
            <family val="2"/>
          </rPr>
          <t xml:space="preserve">: the floor above the lowest level is over other rooms in the dwelling or outdoor air.
</t>
        </r>
        <r>
          <rPr>
            <b/>
            <sz val="12"/>
            <color indexed="81"/>
            <rFont val="Arial"/>
            <family val="2"/>
          </rPr>
          <t>Note on Split Level dwellings:</t>
        </r>
        <r>
          <rPr>
            <sz val="12"/>
            <color indexed="81"/>
            <rFont val="Arial"/>
            <family val="2"/>
          </rPr>
          <t xml:space="preserve">
In a split level dwelling the floors on the higher level is not considered to be an upper floor if it is in contacted with the ground, over a subfloor space or over the outdoor air. Enter as Ground: Direct or Suspeended.
</t>
        </r>
        <r>
          <rPr>
            <b/>
            <sz val="12"/>
            <color indexed="81"/>
            <rFont val="Arial"/>
            <family val="2"/>
          </rPr>
          <t>Note on dwellings with a basement:</t>
        </r>
        <r>
          <rPr>
            <sz val="12"/>
            <color indexed="81"/>
            <rFont val="Arial"/>
            <family val="2"/>
          </rPr>
          <t xml:space="preserve">
Only the rooms in the basement are allocated to Ground. Rooms above are considered to be Upper.  If the basement there are rooms above the basement level which are over a subfloor or in direct contact with the ground these are also classified as Ground.</t>
        </r>
        <r>
          <rPr>
            <sz val="9"/>
            <color indexed="81"/>
            <rFont val="Arial"/>
            <family val="2"/>
          </rPr>
          <t xml:space="preserve">
  </t>
        </r>
      </text>
    </comment>
    <comment ref="L19" authorId="0" shapeId="0" xr:uid="{00000000-0006-0000-0000-00002A000000}">
      <text>
        <r>
          <rPr>
            <b/>
            <sz val="12"/>
            <color indexed="81"/>
            <rFont val="Arial"/>
            <family val="2"/>
          </rPr>
          <t xml:space="preserve">Tip: You must select a value for each window 
</t>
        </r>
        <r>
          <rPr>
            <sz val="12"/>
            <color indexed="81"/>
            <rFont val="Arial"/>
            <family val="2"/>
          </rPr>
          <t>Enter the floor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better utilised. If you have a floor covering wihch is not shown enter other hard surface for coverings like ceramic tiles or thin vinyl tiles or other for any other type of floor covering.</t>
        </r>
      </text>
    </comment>
    <comment ref="M19" authorId="0" shapeId="0" xr:uid="{00000000-0006-0000-0000-00002B000000}">
      <text>
        <r>
          <rPr>
            <b/>
            <sz val="12"/>
            <color indexed="81"/>
            <rFont val="Arial"/>
            <family val="2"/>
          </rPr>
          <t xml:space="preserve">Tip: You must select a value for each window
</t>
        </r>
        <r>
          <rPr>
            <sz val="12"/>
            <color indexed="81"/>
            <rFont val="Arial"/>
            <family val="2"/>
          </rPr>
          <t xml:space="preserve">
</t>
        </r>
        <r>
          <rPr>
            <b/>
            <sz val="12"/>
            <color indexed="81"/>
            <rFont val="Arial"/>
            <family val="2"/>
          </rPr>
          <t xml:space="preserve">Light: </t>
        </r>
        <r>
          <rPr>
            <sz val="12"/>
            <color indexed="81"/>
            <rFont val="Arial"/>
            <family val="2"/>
          </rPr>
          <t xml:space="preserve">Solar absorptance of 0.4 or less
</t>
        </r>
        <r>
          <rPr>
            <b/>
            <sz val="12"/>
            <color indexed="81"/>
            <rFont val="Arial"/>
            <family val="2"/>
          </rPr>
          <t>Medium</t>
        </r>
        <r>
          <rPr>
            <sz val="12"/>
            <color indexed="81"/>
            <rFont val="Arial"/>
            <family val="2"/>
          </rPr>
          <t xml:space="preserve">: Solar absorptance between greater than 0.4 and under 0.70
</t>
        </r>
        <r>
          <rPr>
            <b/>
            <sz val="12"/>
            <color indexed="81"/>
            <rFont val="Arial"/>
            <family val="2"/>
          </rPr>
          <t>Dark</t>
        </r>
        <r>
          <rPr>
            <sz val="12"/>
            <color indexed="81"/>
            <rFont val="Arial"/>
            <family val="2"/>
          </rPr>
          <t>: Solar absorptance of greater than 0.7.
Most metal window frames have colorbond colours. To find the solar absorptance of colorbond colours use a search engine and search on: solar absorptance colorbond.</t>
        </r>
      </text>
    </comment>
    <comment ref="N19" authorId="0" shapeId="0" xr:uid="{00000000-0006-0000-0000-00002C000000}">
      <text>
        <r>
          <rPr>
            <b/>
            <sz val="12"/>
            <color indexed="81"/>
            <rFont val="Arial"/>
            <family val="2"/>
          </rPr>
          <t xml:space="preserve">Tip: You must select a value for each window
</t>
        </r>
        <r>
          <rPr>
            <sz val="12"/>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Note that openability on upper floors may be restricted for safety.</t>
        </r>
      </text>
    </comment>
    <comment ref="O19" authorId="1" shapeId="0" xr:uid="{00000000-0006-0000-0000-00002D000000}">
      <text>
        <r>
          <rPr>
            <b/>
            <sz val="12"/>
            <color indexed="81"/>
            <rFont val="Arial"/>
            <family val="2"/>
          </rPr>
          <t>Tip:</t>
        </r>
        <r>
          <rPr>
            <sz val="12"/>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P19" authorId="1" shapeId="0" xr:uid="{00000000-0006-0000-0000-00002E000000}">
      <text>
        <r>
          <rPr>
            <b/>
            <sz val="12"/>
            <color indexed="81"/>
            <rFont val="Arial"/>
            <family val="2"/>
          </rPr>
          <t>Tip:</t>
        </r>
        <r>
          <rPr>
            <sz val="12"/>
            <color indexed="81"/>
            <rFont val="Arial"/>
            <family val="2"/>
          </rPr>
          <t xml:space="preserve">
Maximum value is 0.7. Values in excess of 0.7 will be trimmed to 0.7. 
</t>
        </r>
        <r>
          <rPr>
            <b/>
            <sz val="12"/>
            <color indexed="81"/>
            <rFont val="Arial"/>
            <family val="2"/>
          </rPr>
          <t>Red shading</t>
        </r>
        <r>
          <rPr>
            <sz val="12"/>
            <color indexed="81"/>
            <rFont val="Arial"/>
            <family val="2"/>
          </rPr>
          <t xml:space="preserve"> indictates the SHGC is above 0.7, invalid SHGC, enter a valid one.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t>
        </r>
      </text>
    </comment>
    <comment ref="Q19" authorId="1" shapeId="0" xr:uid="{00000000-0006-0000-0000-00002F000000}">
      <text>
        <r>
          <rPr>
            <b/>
            <sz val="12"/>
            <color indexed="81"/>
            <rFont val="Arial"/>
            <family val="2"/>
          </rPr>
          <t>NCC reference:</t>
        </r>
        <r>
          <rPr>
            <sz val="12"/>
            <color indexed="81"/>
            <rFont val="Arial"/>
            <family val="2"/>
          </rPr>
          <t xml:space="preserve">
ABCB Housing Provisions Standard Figure 13.3.2b
</t>
        </r>
        <r>
          <rPr>
            <b/>
            <sz val="12"/>
            <color indexed="81"/>
            <rFont val="Arial"/>
            <family val="2"/>
          </rPr>
          <t>Tip:</t>
        </r>
        <r>
          <rPr>
            <sz val="12"/>
            <color indexed="81"/>
            <rFont val="Arial"/>
            <family val="2"/>
          </rPr>
          <t xml:space="preserve">
P is the horizontal distance from the glass face to the shadow casting edge of the projection. If shading is provided by a shading device in accordance with 13.3.4 Shading (b), enter </t>
        </r>
        <r>
          <rPr>
            <b/>
            <sz val="12"/>
            <color indexed="81"/>
            <rFont val="Arial"/>
            <family val="2"/>
          </rPr>
          <t>device</t>
        </r>
        <r>
          <rPr>
            <sz val="12"/>
            <color indexed="81"/>
            <rFont val="Arial"/>
            <family val="2"/>
          </rPr>
          <t xml:space="preserve">.
</t>
        </r>
      </text>
    </comment>
    <comment ref="R19" authorId="1" shapeId="0" xr:uid="{00000000-0006-0000-0000-000030000000}">
      <text>
        <r>
          <rPr>
            <b/>
            <sz val="12"/>
            <color indexed="81"/>
            <rFont val="Arial"/>
            <family val="2"/>
          </rPr>
          <t xml:space="preserve">NCC reference:
</t>
        </r>
        <r>
          <rPr>
            <sz val="12"/>
            <color indexed="81"/>
            <rFont val="Arial"/>
            <family val="2"/>
          </rPr>
          <t xml:space="preserve">ABCB Housing Provisions Standard Figure 13.3.2b
</t>
        </r>
        <r>
          <rPr>
            <b/>
            <sz val="12"/>
            <color indexed="81"/>
            <rFont val="Arial"/>
            <family val="2"/>
          </rPr>
          <t>Tip:</t>
        </r>
        <r>
          <rPr>
            <sz val="12"/>
            <color indexed="81"/>
            <rFont val="Arial"/>
            <family val="2"/>
          </rPr>
          <t xml:space="preserve">
H is the vertical distance from the </t>
        </r>
        <r>
          <rPr>
            <b/>
            <sz val="12"/>
            <color indexed="81"/>
            <rFont val="Arial"/>
            <family val="2"/>
          </rPr>
          <t>base</t>
        </r>
        <r>
          <rPr>
            <sz val="12"/>
            <color indexed="81"/>
            <rFont val="Arial"/>
            <family val="2"/>
          </rPr>
          <t xml:space="preserve"> of the glazing to the shadow casting edge of the projection.
When the edge is more than 0.5m above the head of the glazing, the Calculator will use half of the value of P shown at left.
</t>
        </r>
        <r>
          <rPr>
            <b/>
            <sz val="12"/>
            <color indexed="81"/>
            <rFont val="Arial"/>
            <family val="2"/>
          </rPr>
          <t>Grey shading</t>
        </r>
        <r>
          <rPr>
            <sz val="12"/>
            <color indexed="81"/>
            <rFont val="Arial"/>
            <family val="2"/>
          </rPr>
          <t xml:space="preserve"> indicate device being used, and H cell is ignored for calculations.</t>
        </r>
      </text>
    </comment>
    <comment ref="S19" authorId="1" shapeId="0" xr:uid="{00000000-0006-0000-0000-000031000000}">
      <text>
        <r>
          <rPr>
            <b/>
            <sz val="12"/>
            <color indexed="81"/>
            <rFont val="Arial"/>
            <family val="2"/>
          </rPr>
          <t>Tip:</t>
        </r>
        <r>
          <rPr>
            <sz val="12"/>
            <color indexed="81"/>
            <rFont val="Arial"/>
            <family val="2"/>
          </rPr>
          <t xml:space="preserve">
</t>
        </r>
        <r>
          <rPr>
            <i/>
            <sz val="12"/>
            <color indexed="81"/>
            <rFont val="Arial"/>
            <family val="2"/>
          </rPr>
          <t>Red shading</t>
        </r>
        <r>
          <rPr>
            <sz val="12"/>
            <color indexed="81"/>
            <rFont val="Arial"/>
            <family val="2"/>
          </rPr>
          <t xml:space="preserve">indicate that the value of P has been halved because H exceeds the glazing element height by more than 0.5m.
</t>
        </r>
        <r>
          <rPr>
            <b/>
            <sz val="12"/>
            <color indexed="81"/>
            <rFont val="Arial"/>
            <family val="2"/>
          </rPr>
          <t>Orange shading</t>
        </r>
        <r>
          <rPr>
            <sz val="12"/>
            <color indexed="81"/>
            <rFont val="Arial"/>
            <family val="2"/>
          </rPr>
          <t xml:space="preserve"> indicates that either the P/H value exceeds the limit of the exposure factor table or shading is provided by a shading device (which must be in accordance with 13.3.4(b)). Maximum shading credit is given in both cases.</t>
        </r>
      </text>
    </comment>
    <comment ref="U19" authorId="1" shapeId="0" xr:uid="{00000000-0006-0000-0000-000032000000}">
      <text>
        <r>
          <rPr>
            <b/>
            <sz val="12"/>
            <color indexed="81"/>
            <rFont val="Arial"/>
            <family val="2"/>
          </rPr>
          <t>Tip:</t>
        </r>
        <r>
          <rPr>
            <sz val="12"/>
            <color indexed="81"/>
            <rFont val="Arial"/>
            <family val="2"/>
          </rPr>
          <t xml:space="preserve">
This is the area used in  calculations. It is either the height multiplied by the width (when both are given) or any figure from the area column - whichever is the larger.
</t>
        </r>
        <r>
          <rPr>
            <b/>
            <sz val="12"/>
            <color indexed="81"/>
            <rFont val="Arial"/>
            <family val="2"/>
          </rPr>
          <t>Orange shading</t>
        </r>
        <r>
          <rPr>
            <sz val="12"/>
            <color indexed="81"/>
            <rFont val="Arial"/>
            <family val="2"/>
          </rPr>
          <t xml:space="preserve"> indicates both a width and area has been entered and the calcilator has determined which provides the greater area. Refer to greyed out cell in size columns to see which has been discarded.</t>
        </r>
      </text>
    </comment>
    <comment ref="V19" authorId="1" shapeId="0" xr:uid="{00000000-0006-0000-0000-000033000000}">
      <text>
        <r>
          <rPr>
            <b/>
            <sz val="12"/>
            <color indexed="81"/>
            <rFont val="Arial"/>
            <family val="2"/>
          </rPr>
          <t>Tip:</t>
        </r>
        <r>
          <rPr>
            <sz val="12"/>
            <color indexed="81"/>
            <rFont val="Arial"/>
            <family val="2"/>
          </rPr>
          <t xml:space="preserve">
This shows the percent of total heat losses in winter for this window.</t>
        </r>
      </text>
    </comment>
    <comment ref="W19" authorId="1" shapeId="0" xr:uid="{00000000-0006-0000-0000-000034000000}">
      <text>
        <r>
          <rPr>
            <b/>
            <sz val="12"/>
            <color indexed="81"/>
            <rFont val="Arial"/>
            <family val="2"/>
          </rPr>
          <t>Tip:</t>
        </r>
        <r>
          <rPr>
            <sz val="12"/>
            <color indexed="81"/>
            <rFont val="Arial"/>
            <family val="2"/>
          </rPr>
          <t xml:space="preserve">
This shows the percent of total winter heat gain for this window.</t>
        </r>
      </text>
    </comment>
    <comment ref="Y19" authorId="1" shapeId="0" xr:uid="{00000000-0006-0000-0000-000035000000}">
      <text>
        <r>
          <rPr>
            <b/>
            <sz val="12"/>
            <color indexed="81"/>
            <rFont val="Arial"/>
            <family val="2"/>
          </rPr>
          <t>Tip:</t>
        </r>
        <r>
          <rPr>
            <sz val="12"/>
            <color indexed="81"/>
            <rFont val="Arial"/>
            <family val="2"/>
          </rPr>
          <t xml:space="preserve">
'</t>
        </r>
        <r>
          <rPr>
            <b/>
            <sz val="12"/>
            <color indexed="81"/>
            <rFont val="Arial"/>
            <family val="2"/>
          </rPr>
          <t>Element share</t>
        </r>
        <r>
          <rPr>
            <sz val="12"/>
            <color indexed="81"/>
            <rFont val="Arial"/>
            <family val="2"/>
          </rPr>
          <t xml:space="preserve">' refers to the </t>
        </r>
        <r>
          <rPr>
            <b/>
            <sz val="12"/>
            <color indexed="81"/>
            <rFont val="Arial"/>
            <family val="2"/>
          </rPr>
          <t>first percentage figure</t>
        </r>
        <r>
          <rPr>
            <sz val="12"/>
            <color indexed="81"/>
            <rFont val="Arial"/>
            <family val="2"/>
          </rPr>
          <t xml:space="preserve">. It is the percentage contribution that the </t>
        </r>
        <r>
          <rPr>
            <b/>
            <sz val="12"/>
            <color indexed="81"/>
            <rFont val="Arial"/>
            <family val="2"/>
          </rPr>
          <t>individual glazing element</t>
        </r>
        <r>
          <rPr>
            <sz val="12"/>
            <color indexed="81"/>
            <rFont val="Arial"/>
            <family val="2"/>
          </rPr>
          <t xml:space="preserve"> makes to the aggregate solar heat gain outcome for its floor type. The figure will be 100% when there is only one glazing element for that floor type.
'</t>
        </r>
        <r>
          <rPr>
            <b/>
            <sz val="12"/>
            <color indexed="81"/>
            <rFont val="Arial"/>
            <family val="2"/>
          </rPr>
          <t>% of allowance used</t>
        </r>
        <r>
          <rPr>
            <sz val="12"/>
            <color indexed="81"/>
            <rFont val="Arial"/>
            <family val="2"/>
          </rPr>
          <t xml:space="preserve">' refers to the second percentage figure. It is the portion of the solar heat gain allowance consumed by </t>
        </r>
        <r>
          <rPr>
            <b/>
            <sz val="12"/>
            <color indexed="81"/>
            <rFont val="Arial"/>
            <family val="2"/>
          </rPr>
          <t>all glazing elements</t>
        </r>
        <r>
          <rPr>
            <sz val="12"/>
            <color indexed="81"/>
            <rFont val="Arial"/>
            <family val="2"/>
          </rPr>
          <t xml:space="preserve"> for the floor type. This value will be greater than 100% when the aggregate solar heat gain of the elements exceeds the solar heat gain allowance. </t>
        </r>
      </text>
    </comment>
    <comment ref="AD19" authorId="1" shapeId="0" xr:uid="{00000000-0006-0000-0000-000036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H19" authorId="1" shapeId="0" xr:uid="{00000000-0006-0000-0000-000037000000}">
      <text>
        <r>
          <rPr>
            <b/>
            <sz val="9"/>
            <color indexed="81"/>
            <rFont val="Tahoma"/>
            <family val="2"/>
          </rPr>
          <t>Bruce Lightfoot:</t>
        </r>
        <r>
          <rPr>
            <sz val="9"/>
            <color indexed="81"/>
            <rFont val="Tahoma"/>
            <family val="2"/>
          </rPr>
          <t xml:space="preserve">
Counts all entries to the right of the ID column in each row.</t>
        </r>
      </text>
    </comment>
    <comment ref="AI19" authorId="1" shapeId="0" xr:uid="{00000000-0006-0000-0000-000038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J19" authorId="1" shapeId="0" xr:uid="{00000000-0006-0000-0000-000039000000}">
      <text>
        <r>
          <rPr>
            <b/>
            <sz val="8"/>
            <color indexed="81"/>
            <rFont val="Tahoma"/>
            <family val="2"/>
          </rPr>
          <t>Bruce Lightfoot:</t>
        </r>
        <r>
          <rPr>
            <sz val="8"/>
            <color indexed="81"/>
            <rFont val="Tahoma"/>
            <family val="2"/>
          </rPr>
          <t xml:space="preserve">
"data" refers only to the inputs to the right of the Orientation column.</t>
        </r>
      </text>
    </comment>
    <comment ref="AK19" authorId="1" shapeId="0" xr:uid="{00000000-0006-0000-0000-00003A000000}">
      <text>
        <r>
          <rPr>
            <b/>
            <sz val="9"/>
            <color indexed="81"/>
            <rFont val="Tahoma"/>
            <family val="2"/>
          </rPr>
          <t>Bruce Lightfoot:</t>
        </r>
        <r>
          <rPr>
            <sz val="9"/>
            <color indexed="81"/>
            <rFont val="Tahoma"/>
            <family val="2"/>
          </rPr>
          <t xml:space="preserve">
Long label (not wrapped) is for use in input alerts.</t>
        </r>
      </text>
    </comment>
    <comment ref="AL19" authorId="1" shapeId="0" xr:uid="{00000000-0006-0000-0000-00003B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N19" authorId="1" shapeId="0" xr:uid="{00000000-0006-0000-0000-00003C000000}">
      <text>
        <r>
          <rPr>
            <b/>
            <sz val="9"/>
            <color indexed="81"/>
            <rFont val="Tahoma"/>
            <family val="2"/>
          </rPr>
          <t>Bruce Lightfoot:</t>
        </r>
        <r>
          <rPr>
            <sz val="9"/>
            <color indexed="81"/>
            <rFont val="Tahoma"/>
            <family val="2"/>
          </rPr>
          <t xml:space="preserve">
Long label (not wrapped) is for use in input alerts.</t>
        </r>
      </text>
    </comment>
    <comment ref="AO19" authorId="1" shapeId="0" xr:uid="{00000000-0006-0000-0000-00003D000000}">
      <text>
        <r>
          <rPr>
            <b/>
            <sz val="8"/>
            <color indexed="81"/>
            <rFont val="Tahoma"/>
            <family val="2"/>
          </rPr>
          <t>Bruce Lightfoot:</t>
        </r>
        <r>
          <rPr>
            <sz val="8"/>
            <color indexed="81"/>
            <rFont val="Tahoma"/>
            <family val="2"/>
          </rPr>
          <t xml:space="preserve">
Can evaluate to TRUE only when a width figure has been given.</t>
        </r>
      </text>
    </comment>
    <comment ref="AR19" authorId="1" shapeId="0" xr:uid="{00000000-0006-0000-0000-00003E000000}">
      <text>
        <r>
          <rPr>
            <b/>
            <sz val="9"/>
            <color indexed="81"/>
            <rFont val="Tahoma"/>
            <family val="2"/>
          </rPr>
          <t>Bruce Lightfoot:</t>
        </r>
        <r>
          <rPr>
            <sz val="9"/>
            <color indexed="81"/>
            <rFont val="Tahoma"/>
            <family val="2"/>
          </rPr>
          <t xml:space="preserve">
Evaluation is suppressed until Size details have been provided.</t>
        </r>
      </text>
    </comment>
    <comment ref="AS19" authorId="1" shapeId="0" xr:uid="{00000000-0006-0000-0000-00003F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BA19" authorId="1" shapeId="0" xr:uid="{00000000-0006-0000-0000-000040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BB19" authorId="1" shapeId="0" xr:uid="{00000000-0006-0000-0000-000041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D19" authorId="1" shapeId="0" xr:uid="{00000000-0006-0000-0000-000042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M19" authorId="1" shapeId="0" xr:uid="{00000000-0006-0000-0000-000043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N19" authorId="1" shapeId="0" xr:uid="{00000000-0006-0000-0000-000044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Q19" authorId="1" shapeId="0" xr:uid="{00000000-0006-0000-0000-000045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S19" authorId="2" shapeId="0" xr:uid="{00000000-0006-0000-0000-000046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W19" authorId="1" shapeId="0" xr:uid="{00000000-0006-0000-0000-000047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Z19" authorId="1" shapeId="0" xr:uid="{00000000-0006-0000-0000-000048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A19" authorId="1" shapeId="0" xr:uid="{00000000-0006-0000-0000-000049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C19" authorId="1" shapeId="0" xr:uid="{00000000-0006-0000-0000-00004A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E19" authorId="1" shapeId="0" xr:uid="{00000000-0006-0000-0000-00004B000000}">
      <text>
        <r>
          <rPr>
            <b/>
            <sz val="8"/>
            <color indexed="81"/>
            <rFont val="Tahoma"/>
            <family val="2"/>
          </rPr>
          <t>Bruce Lightfoot:</t>
        </r>
        <r>
          <rPr>
            <sz val="8"/>
            <color indexed="81"/>
            <rFont val="Tahoma"/>
            <family val="2"/>
          </rPr>
          <t xml:space="preserve">
Formulae adjusted to refer to combined result 18.10.09.</t>
        </r>
      </text>
    </comment>
    <comment ref="CI19" authorId="1" shapeId="0" xr:uid="{00000000-0006-0000-0000-00004C000000}">
      <text>
        <r>
          <rPr>
            <b/>
            <sz val="8"/>
            <color indexed="81"/>
            <rFont val="Tahoma"/>
            <family val="2"/>
          </rPr>
          <t>Bruce Lightfoot:</t>
        </r>
        <r>
          <rPr>
            <sz val="8"/>
            <color indexed="81"/>
            <rFont val="Tahoma"/>
            <family val="2"/>
          </rPr>
          <t xml:space="preserve">
"Label" is the string that appears in the "% share of % of allowance" column.</t>
        </r>
      </text>
    </comment>
    <comment ref="CS19" authorId="3" shapeId="0" xr:uid="{00000000-0006-0000-0000-00004D000000}">
      <text>
        <t>[Threaded comment]
Your version of Excel allows you to read this threaded comment; however, any edits to it will get removed if the file is opened in a newer version of Excel. Learn more: https://go.microsoft.com/fwlink/?linkid=870924
Comment:
    TI: fixed error in openability lookup, incomplete if statement, 22/4/22</t>
      </text>
    </comment>
    <comment ref="BG20" authorId="1" shapeId="0" xr:uid="{00000000-0006-0000-0000-00004E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000-00004F000000}">
      <text>
        <r>
          <rPr>
            <b/>
            <sz val="9"/>
            <color indexed="81"/>
            <rFont val="Tahoma"/>
            <family val="2"/>
          </rPr>
          <t>Bruce Lightfoot:</t>
        </r>
        <r>
          <rPr>
            <sz val="9"/>
            <color indexed="81"/>
            <rFont val="Tahoma"/>
            <family val="2"/>
          </rPr>
          <t xml:space="preserve">
This count refers to the lengths of alert strings calculated below.</t>
        </r>
      </text>
    </comment>
    <comment ref="S133" authorId="1" shapeId="0" xr:uid="{00000000-0006-0000-0000-000050000000}">
      <text>
        <r>
          <rPr>
            <b/>
            <sz val="9"/>
            <color indexed="81"/>
            <rFont val="Tahoma"/>
            <family val="2"/>
          </rPr>
          <t>Bruce Lightfoot:</t>
        </r>
        <r>
          <rPr>
            <sz val="9"/>
            <color indexed="81"/>
            <rFont val="Tahoma"/>
            <family val="2"/>
          </rPr>
          <t xml:space="preserve">
This count refers to the lengths of alert strings calculated below.</t>
        </r>
      </text>
    </comment>
    <comment ref="V133" authorId="1" shapeId="0" xr:uid="{00000000-0006-0000-0000-000051000000}">
      <text>
        <r>
          <rPr>
            <b/>
            <sz val="9"/>
            <color indexed="81"/>
            <rFont val="Tahoma"/>
            <family val="2"/>
          </rPr>
          <t>Bruce Lightfoot:</t>
        </r>
        <r>
          <rPr>
            <sz val="9"/>
            <color indexed="81"/>
            <rFont val="Tahoma"/>
            <family val="2"/>
          </rPr>
          <t xml:space="preserve">
Sum of Alerts and Issues</t>
        </r>
      </text>
    </comment>
    <comment ref="H137" authorId="1" shapeId="0" xr:uid="{00000000-0006-0000-0000-000052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000-000053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000-000054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000-000055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000-000056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000-000057000000}">
      <text>
        <r>
          <rPr>
            <b/>
            <sz val="8"/>
            <color indexed="81"/>
            <rFont val="Tahoma"/>
            <family val="2"/>
          </rPr>
          <t>Bruce Lightfoot:</t>
        </r>
        <r>
          <rPr>
            <sz val="8"/>
            <color indexed="81"/>
            <rFont val="Tahoma"/>
            <family val="2"/>
          </rPr>
          <t xml:space="preserve">
SOU changed to Storey 9.6.09</t>
        </r>
      </text>
    </comment>
    <comment ref="H142" authorId="1" shapeId="0" xr:uid="{00000000-0006-0000-0000-000058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000-000059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000-00005A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000-00005B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<sst xmlns="http://schemas.openxmlformats.org/spreadsheetml/2006/main" count="2748" uniqueCount="634">
  <si>
    <t>Calculator</t>
  </si>
  <si>
    <t>Tips for using the Glazing Calculator:</t>
  </si>
  <si>
    <t>Operating system:</t>
  </si>
  <si>
    <t>The .xlsx file is suitable for use in the 2007 and 2010 versions of Excel for Windows and in the 2011 version of Excel for Apple Mac ®. These Help instructions and the screenshots refer to the Windows version and may not fully reflect the Mac interface.</t>
  </si>
  <si>
    <t>Some users may need to adjust the screen zoom setting to see the whole form at once. The worksheet background does not change when zoom settings are altered and also does not print.</t>
  </si>
  <si>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</si>
  <si>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</si>
  <si>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</si>
  <si>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</si>
  <si>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</si>
  <si>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Error and alert messages:</t>
  </si>
  <si>
    <t>Identified issues concerning inputs above the glazing elements table are flagged above the input cells.</t>
  </si>
  <si>
    <t>Input issues in each row of the glazing elements table are identified in bold red font to the right of the row (overlaying the calculations area).</t>
  </si>
  <si>
    <t>Calculator outcomes cannot be displayed until all input issues have been resolved (which will clear any colour highlighting and advisory messages). Several messages may appear in sequence for the same row as issues are resolved.</t>
  </si>
  <si>
    <t>Printing:</t>
  </si>
  <si>
    <t>The print area has been pre-set to allow printing as one or more A4 pages (landscape format), depending on the number of rows displayed in the form. Some margins may need to be adjusted to suit some printers (particularly inkjets).</t>
  </si>
  <si>
    <t>Users' worksheet:</t>
  </si>
  <si>
    <t>Use of this worksheet is optional and responsibility for its contents and consequences remains entirely with the user.</t>
  </si>
  <si>
    <t>Version history:</t>
  </si>
  <si>
    <t>•</t>
  </si>
  <si>
    <t>Revised styling and branding to match other NCC 2019 calculators</t>
  </si>
  <si>
    <t>Renewed protection</t>
  </si>
  <si>
    <t>2.05 (May 2014):</t>
  </si>
  <si>
    <t>Removed case sensitivity of inputs for Air Movement on the Calculator form.</t>
  </si>
  <si>
    <t>Revised text of cell tips behind the "Total System U-Value" and "Total System SHGC" column headings on the Calculator form.</t>
  </si>
  <si>
    <t>2.04 (May 2013):</t>
  </si>
  <si>
    <t>Changed "Total U-Value" and "SHGC" to "Total System U-Value" and "Total System SHGC"
to reflect changes to BCA 2013.</t>
  </si>
  <si>
    <t>2.03 (December 2011):</t>
  </si>
  <si>
    <t>Modified Calculator formatting and error reporting for compatibility with Excel 2010 on Windows and 2011 on Mac.</t>
  </si>
  <si>
    <t>Increased the maximum number of rows available in the glazing elements table from 40 to 80.</t>
  </si>
  <si>
    <t>Revised Help notes and screenshots to suit Calculator changes.</t>
  </si>
  <si>
    <t>2.02:</t>
  </si>
  <si>
    <t>Fixed display of constants at upper right of form for Suspended floors.</t>
  </si>
  <si>
    <t>2.01:</t>
  </si>
  <si>
    <t>Changed "NFRC" to "AFRC" in headings of Total U-Value and SHGC columns.</t>
  </si>
  <si>
    <t>(AFRC refers to the Australian Fenestration Rating Council. See cell comments in headings,)</t>
  </si>
  <si>
    <t>2.00:</t>
  </si>
  <si>
    <t>First public issue of extensively revised version for use with BCA 2010.</t>
  </si>
  <si>
    <t>1.03:</t>
  </si>
  <si>
    <t>Merged building description text box to become one cell.</t>
  </si>
  <si>
    <t>Added additional explanatory information for entering Standard and High Air Movement levels.</t>
  </si>
  <si>
    <t>1.02:</t>
  </si>
  <si>
    <t>Enabled interpolation of Air Movement levels between Standard and High</t>
  </si>
  <si>
    <t>Fixed display of glazing percentages below Floor type table when both floor types are used.</t>
  </si>
  <si>
    <t>Changed second row title of Floor type table to "Area of floor" to match term in Clause 3.12.2.1(a).</t>
  </si>
  <si>
    <t>Added input tips (describing Floor types A and B) to the input cells for "Area of floor".</t>
  </si>
  <si>
    <t>Added a worksheet for users' notes and calculations (and displayed worksheet tabs for access).</t>
  </si>
  <si>
    <t>Updated screenshots.</t>
  </si>
  <si>
    <t>1.01:</t>
  </si>
  <si>
    <t>Enhanced input cues for data needed above the glazing elements table.</t>
  </si>
  <si>
    <t>Added a new note 3 to Help notes and revised text of note 18 (formerly note 17).</t>
  </si>
  <si>
    <t>Added this Version history to the Help screen.</t>
  </si>
  <si>
    <t>1.00:</t>
  </si>
  <si>
    <t>First public issue.</t>
  </si>
  <si>
    <t>Constants table</t>
  </si>
  <si>
    <t>Type A</t>
  </si>
  <si>
    <t>Type B</t>
  </si>
  <si>
    <t>AreaApercent / AreaBpercent</t>
  </si>
  <si>
    <t>Outcomes (for reporting)</t>
  </si>
  <si>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</si>
  <si>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</si>
  <si>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</si>
  <si>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</si>
  <si>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</si>
  <si>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</si>
  <si>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</si>
  <si>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</si>
  <si>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</si>
  <si>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</si>
  <si>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</si>
  <si>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</si>
  <si>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MultipleAir / SuffixAir</t>
  </si>
  <si>
    <t>allowance minus outcome</t>
  </si>
  <si>
    <t>Negative values are failures</t>
  </si>
  <si>
    <t>DifferenceA / InterpolatedA</t>
  </si>
  <si>
    <t>DifferenceB / InterpolatedB</t>
  </si>
  <si>
    <t>AdviceIssuesOnly</t>
  </si>
  <si>
    <t>% share of allowance (rounded up)</t>
  </si>
  <si>
    <t>Allowance zero when no zone is shown (possible #DIV/0 errors)</t>
  </si>
  <si>
    <t>Standard</t>
  </si>
  <si>
    <t>High</t>
  </si>
  <si>
    <t>Allowances</t>
  </si>
  <si>
    <t>Cu column label</t>
  </si>
  <si>
    <t>CuWeighted / CshgcWeighted</t>
  </si>
  <si>
    <t>count of failed elements</t>
  </si>
  <si>
    <t>FailedCondAFailedSHGA</t>
  </si>
  <si>
    <t>AllowedCond</t>
  </si>
  <si>
    <t>AllowedSHG</t>
  </si>
  <si>
    <t>DIV/0 error trap precedes logic test</t>
  </si>
  <si>
    <t>GlazingAreaA</t>
  </si>
  <si>
    <t>DudSize</t>
  </si>
  <si>
    <t>DudPerformance</t>
  </si>
  <si>
    <t>DudShading</t>
  </si>
  <si>
    <t>DudTableInputs</t>
  </si>
  <si>
    <t>AllInputsOK</t>
  </si>
  <si>
    <t>OrphanData</t>
  </si>
  <si>
    <t>ShowPassCond</t>
  </si>
  <si>
    <t>ShowPassSHG</t>
  </si>
  <si>
    <t>Number of rows for table below</t>
  </si>
  <si>
    <t>row height</t>
  </si>
  <si>
    <t>master cell for confirmation of inputs</t>
  </si>
  <si>
    <t>Shading</t>
  </si>
  <si>
    <t>LastActive</t>
  </si>
  <si>
    <t>TableEntries</t>
  </si>
  <si>
    <t>RowsActive</t>
  </si>
  <si>
    <t>RowsWithData</t>
  </si>
  <si>
    <t>NoSector</t>
  </si>
  <si>
    <t>Size</t>
  </si>
  <si>
    <t>RowsOK</t>
  </si>
  <si>
    <t>InputIssues</t>
  </si>
  <si>
    <t>VisibleFailures</t>
  </si>
  <si>
    <t>Glazing element</t>
  </si>
  <si>
    <t>Orientation</t>
  </si>
  <si>
    <t>Performance</t>
  </si>
  <si>
    <t>Exposure</t>
  </si>
  <si>
    <t>Solar heat gain exposure factors</t>
  </si>
  <si>
    <t>Conductance factors / access</t>
  </si>
  <si>
    <t>Element outcomes</t>
  </si>
  <si>
    <t>move+size</t>
  </si>
  <si>
    <t>move only</t>
  </si>
  <si>
    <t>no move or size</t>
  </si>
  <si>
    <t xml:space="preserve"> ID</t>
  </si>
  <si>
    <t xml:space="preserve"> P/H
</t>
  </si>
  <si>
    <t>Es</t>
  </si>
  <si>
    <t>row</t>
  </si>
  <si>
    <t>show</t>
  </si>
  <si>
    <t>active shown</t>
  </si>
  <si>
    <t>filled cells</t>
  </si>
  <si>
    <t>row active</t>
  </si>
  <si>
    <t>filled data</t>
  </si>
  <si>
    <t>Row skipped (OK if intentional)</t>
  </si>
  <si>
    <t>no Sector given</t>
  </si>
  <si>
    <t>width ignored</t>
  </si>
  <si>
    <t>Total System U-Value</t>
  </si>
  <si>
    <t xml:space="preserve"> &amp; </t>
  </si>
  <si>
    <t>Total System SHGC</t>
  </si>
  <si>
    <t>invalid P</t>
  </si>
  <si>
    <t>shading H needed</t>
  </si>
  <si>
    <t>shading H without P</t>
  </si>
  <si>
    <t>inputs OK</t>
  </si>
  <si>
    <t>shading active</t>
  </si>
  <si>
    <t>issues flagged</t>
  </si>
  <si>
    <t>issue / advice messages</t>
  </si>
  <si>
    <t>H - h &gt; 0.5m</t>
  </si>
  <si>
    <t>P/H &gt; 2</t>
  </si>
  <si>
    <t>h x w &lt;&gt; area</t>
  </si>
  <si>
    <t>visible failure</t>
  </si>
  <si>
    <t>P/H above</t>
  </si>
  <si>
    <t>P/H below</t>
  </si>
  <si>
    <t>P/H interval</t>
  </si>
  <si>
    <t>% interval</t>
  </si>
  <si>
    <t>sector</t>
  </si>
  <si>
    <t>Es
above</t>
  </si>
  <si>
    <t>Es
below</t>
  </si>
  <si>
    <t>Es
interval</t>
  </si>
  <si>
    <t>Ew
above</t>
  </si>
  <si>
    <t>Ew
below</t>
  </si>
  <si>
    <t>Ew interval</t>
  </si>
  <si>
    <t>actual Ew</t>
  </si>
  <si>
    <t>A x SHGC x Ew</t>
  </si>
  <si>
    <t>condct A x U</t>
  </si>
  <si>
    <t>solar heat gain</t>
  </si>
  <si>
    <t>% condct</t>
  </si>
  <si>
    <t>% SHG</t>
  </si>
  <si>
    <t>agg condct fails</t>
  </si>
  <si>
    <t>agg SHG fails</t>
  </si>
  <si>
    <t>Conductance label</t>
  </si>
  <si>
    <t>Solar Heat Gain label</t>
  </si>
  <si>
    <t>IMPORTANT NOTICE AND DISCLAIMER IN RESPECT OF THE GLAZING CALCULATOR</t>
  </si>
  <si>
    <t>Keep row below glazing elements table blank to ensure intended operation of autofilter for rows</t>
  </si>
  <si>
    <t>Glazing schedule inactive</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</si>
  <si>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</si>
  <si>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</si>
  <si>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</si>
  <si>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</si>
  <si>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</si>
  <si>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</si>
  <si>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</si>
  <si>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</si>
  <si>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</si>
  <si>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</si>
  <si>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</si>
  <si>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</si>
  <si>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no Glazing / prior / no Storey</t>
  </si>
  <si>
    <t>Glazing / no Storey</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</si>
  <si>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</si>
  <si>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</si>
  <si>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</si>
  <si>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</si>
  <si>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</si>
  <si>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</si>
  <si>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</si>
  <si>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</si>
  <si>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</si>
  <si>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</si>
  <si>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</si>
  <si>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</si>
  <si>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</si>
  <si>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</si>
  <si>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</si>
  <si>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</si>
  <si>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</si>
  <si>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</si>
  <si>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</si>
  <si>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</si>
  <si>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</si>
  <si>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</si>
  <si>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</si>
  <si>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</si>
  <si>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</si>
  <si>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</si>
  <si>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</si>
  <si>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</si>
  <si>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</si>
  <si>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</si>
  <si>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</si>
  <si>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</si>
  <si>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</si>
  <si>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</si>
  <si>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</si>
  <si>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</si>
  <si>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</si>
  <si>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</si>
  <si>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</si>
  <si>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</si>
  <si>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</si>
  <si>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</si>
  <si>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</si>
  <si>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</si>
  <si>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</si>
  <si>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</si>
  <si>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 wall insulation concession used</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</si>
  <si>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</si>
  <si>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</si>
  <si>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</si>
  <si>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</si>
  <si>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</si>
  <si>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</si>
  <si>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</si>
  <si>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</si>
  <si>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</si>
  <si>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</si>
  <si>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</si>
  <si>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</si>
  <si>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</si>
  <si>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</si>
  <si>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</si>
  <si>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</si>
  <si>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</si>
  <si>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</si>
  <si>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</si>
  <si>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</si>
  <si>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</si>
  <si>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</si>
  <si>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</si>
  <si>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</si>
  <si>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</si>
  <si>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</si>
  <si>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</si>
  <si>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</si>
  <si>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</si>
  <si>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</si>
  <si>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</si>
  <si>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</si>
  <si>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</si>
  <si>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</si>
  <si>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</si>
  <si>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</si>
  <si>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</si>
  <si>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r>
      <t>C</t>
    </r>
    <r>
      <rPr>
        <vertAlign val="subscript"/>
        <sz val="10"/>
        <rFont val="Arial"/>
        <family val="2"/>
      </rPr>
      <t>U</t>
    </r>
  </si>
  <si>
    <r>
      <t>C</t>
    </r>
    <r>
      <rPr>
        <vertAlign val="subscript"/>
        <sz val="10"/>
        <rFont val="Arial"/>
        <family val="2"/>
      </rPr>
      <t>SHGC</t>
    </r>
  </si>
  <si>
    <r>
      <t>ConstantsA</t>
    </r>
    <r>
      <rPr>
        <sz val="8"/>
        <color indexed="12"/>
        <rFont val="Arial"/>
        <family val="2"/>
      </rPr>
      <t xml:space="preserve"> (contains 2 areas)</t>
    </r>
  </si>
  <si>
    <t>Suspended floor</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</si>
  <si>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</si>
  <si>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</si>
  <si>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</si>
  <si>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</si>
  <si>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N</t>
  </si>
  <si>
    <t>NE</t>
  </si>
  <si>
    <t>E</t>
  </si>
  <si>
    <t>SE</t>
  </si>
  <si>
    <t>S</t>
  </si>
  <si>
    <t>SW</t>
  </si>
  <si>
    <t>W</t>
  </si>
  <si>
    <t>NW</t>
  </si>
  <si>
    <t>Orientations</t>
  </si>
  <si>
    <t>Used for indexing of multipart named ranges for exposure factors</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</si>
  <si>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</si>
  <si>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</si>
  <si>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</si>
  <si>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</si>
  <si>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</si>
  <si>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</si>
  <si>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</si>
  <si>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</si>
  <si>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</si>
  <si>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</si>
  <si>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</si>
  <si>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</si>
  <si>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</si>
  <si>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</si>
  <si>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Melbourne</t>
  </si>
  <si>
    <t>Hobart</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</si>
  <si>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</si>
  <si>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</si>
  <si>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</si>
  <si>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</si>
  <si>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</si>
  <si>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</si>
  <si>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</si>
  <si>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</si>
  <si>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Ground</t>
  </si>
  <si>
    <t>Slab Floor</t>
  </si>
  <si>
    <t>Timber Floor</t>
  </si>
  <si>
    <r>
      <t>C</t>
    </r>
    <r>
      <rPr>
        <vertAlign val="subscript"/>
        <sz val="10"/>
        <rFont val="Arial"/>
        <family val="2"/>
      </rPr>
      <t>SHGC</t>
    </r>
    <r>
      <rPr>
        <sz val="10"/>
        <rFont val="Arial"/>
        <family val="2"/>
      </rPr>
      <t xml:space="preserve"> 5%</t>
    </r>
  </si>
  <si>
    <r>
      <t>C</t>
    </r>
    <r>
      <rPr>
        <vertAlign val="subscript"/>
        <sz val="10"/>
        <rFont val="Arial"/>
        <family val="2"/>
      </rPr>
      <t>SHGC</t>
    </r>
    <r>
      <rPr>
        <sz val="10"/>
        <rFont val="Arial"/>
        <family val="2"/>
      </rPr>
      <t xml:space="preserve"> 10%</t>
    </r>
  </si>
  <si>
    <r>
      <t>C</t>
    </r>
    <r>
      <rPr>
        <vertAlign val="subscript"/>
        <sz val="10"/>
        <rFont val="Arial"/>
        <family val="2"/>
      </rPr>
      <t>SHGC</t>
    </r>
    <r>
      <rPr>
        <sz val="10"/>
        <rFont val="Arial"/>
        <family val="2"/>
      </rPr>
      <t xml:space="preserve"> 15%</t>
    </r>
  </si>
  <si>
    <r>
      <t>C</t>
    </r>
    <r>
      <rPr>
        <vertAlign val="subscript"/>
        <sz val="10"/>
        <rFont val="Arial"/>
        <family val="2"/>
      </rPr>
      <t>SHGC</t>
    </r>
    <r>
      <rPr>
        <sz val="10"/>
        <rFont val="Arial"/>
        <family val="2"/>
      </rPr>
      <t xml:space="preserve"> 20%</t>
    </r>
  </si>
  <si>
    <t>Room Type</t>
  </si>
  <si>
    <t>Frame Dark</t>
  </si>
  <si>
    <t>Frame Medium</t>
  </si>
  <si>
    <t>Frame Light</t>
  </si>
  <si>
    <t>Hard Floor</t>
  </si>
  <si>
    <t>Level</t>
  </si>
  <si>
    <t>Climate</t>
  </si>
  <si>
    <t>Winter</t>
  </si>
  <si>
    <t>Bedroom Conduction</t>
  </si>
  <si>
    <t>Bedroom Radiation</t>
  </si>
  <si>
    <t>Summer Slab</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</si>
  <si>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</si>
  <si>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</si>
  <si>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</si>
  <si>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</si>
  <si>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</si>
  <si>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</si>
  <si>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</si>
  <si>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</si>
  <si>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</si>
  <si>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</si>
  <si>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</si>
  <si>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</si>
  <si>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</si>
  <si>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Dark</t>
  </si>
  <si>
    <t>Frame solar absorptance multiplier* (for metal frame windows) 0.85</t>
  </si>
  <si>
    <t>Allowable Solar Gain per m2 (15% openable window area)*</t>
  </si>
  <si>
    <t>Medium</t>
  </si>
  <si>
    <t>Frame solar absorptance multiplier (for metal frame windows) 0.50</t>
  </si>
  <si>
    <t>Allowable Solar Gain per m2 (20% openable window area)*</t>
  </si>
  <si>
    <t>Light</t>
  </si>
  <si>
    <t>Frame solar absorptance multiplier (for metal frame windows) 0.35</t>
  </si>
  <si>
    <t>Hard floor surface multiplier**</t>
  </si>
  <si>
    <t>^^from correlation^^</t>
  </si>
  <si>
    <t>Frame_SA_Sum_Sla</t>
  </si>
  <si>
    <t>Summer Timber</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</si>
  <si>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</si>
  <si>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</si>
  <si>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</si>
  <si>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</si>
  <si>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</si>
  <si>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Winter Slab</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</si>
  <si>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</si>
  <si>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</si>
  <si>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</si>
  <si>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</si>
  <si>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</si>
  <si>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</si>
  <si>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</si>
  <si>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</si>
  <si>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</si>
  <si>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</si>
  <si>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</si>
  <si>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Winter Timber</t>
  </si>
  <si>
    <t>New factors developed for NCC Glazing Calculations for NCC Climate Zone 6, Suspended floors</t>
  </si>
  <si>
    <t>Limit to Conductance: CU / CSHGC</t>
  </si>
  <si>
    <t>Allowable CU - CSHGC NCC Climate Zone 6</t>
  </si>
  <si>
    <t>Frame_SA_Win_Tim</t>
  </si>
  <si>
    <t>Slab Orientation Conduction Factors</t>
  </si>
  <si>
    <t>Suspended Orientation Conduction Factors</t>
  </si>
  <si>
    <r>
      <t>C</t>
    </r>
    <r>
      <rPr>
        <strike/>
        <vertAlign val="subscript"/>
        <sz val="10"/>
        <rFont val="Arial"/>
        <family val="2"/>
      </rPr>
      <t>U</t>
    </r>
  </si>
  <si>
    <r>
      <t>C</t>
    </r>
    <r>
      <rPr>
        <strike/>
        <vertAlign val="subscript"/>
        <sz val="10"/>
        <rFont val="Arial"/>
        <family val="2"/>
      </rPr>
      <t>SHGC</t>
    </r>
  </si>
  <si>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</si>
  <si>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</si>
  <si>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</si>
  <si>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</si>
  <si>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</si>
  <si>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 xml:space="preserve">P/H </t>
  </si>
  <si>
    <t>from correlation</t>
  </si>
  <si>
    <t>from sims</t>
  </si>
  <si>
    <t>???</t>
  </si>
  <si>
    <t>Sim</t>
  </si>
  <si>
    <t>Mildura</t>
  </si>
  <si>
    <t>West Sydney</t>
  </si>
  <si>
    <t>Brick Cavity Wall Slab floor</t>
  </si>
  <si>
    <t>Brick Cavity Wall Timber floor</t>
  </si>
  <si>
    <t>5 BC</t>
  </si>
  <si>
    <t>Perth</t>
  </si>
  <si>
    <t>Thredbo</t>
  </si>
  <si>
    <t>Adjacent Floor Cover</t>
  </si>
  <si>
    <t>Frame Colour</t>
  </si>
  <si>
    <t>Open-ability</t>
  </si>
  <si>
    <t>Bedroom / Utility?</t>
  </si>
  <si>
    <t>Data lists for new inputs</t>
  </si>
  <si>
    <t>No</t>
  </si>
  <si>
    <t>Upper</t>
  </si>
  <si>
    <t>Polished Concrete</t>
  </si>
  <si>
    <t>Ceramic Tile</t>
  </si>
  <si>
    <t>Vinyl Tile</t>
  </si>
  <si>
    <t>Cork</t>
  </si>
  <si>
    <t>Floating Timber</t>
  </si>
  <si>
    <t>Carpet</t>
  </si>
  <si>
    <t>Fixed</t>
  </si>
  <si>
    <t>Highly Openable</t>
  </si>
  <si>
    <t>Openability</t>
  </si>
  <si>
    <t>Awning</t>
  </si>
  <si>
    <t>Sliding</t>
  </si>
  <si>
    <t>Sliding Door</t>
  </si>
  <si>
    <t>Double Hung</t>
  </si>
  <si>
    <t>Casement</t>
  </si>
  <si>
    <t>Louvre</t>
  </si>
  <si>
    <t>Other</t>
  </si>
  <si>
    <t>Window opening type</t>
  </si>
  <si>
    <t>Window height (m)</t>
  </si>
  <si>
    <t>Openable portion %*</t>
  </si>
  <si>
    <t>Window width</t>
  </si>
  <si>
    <t>Up to 1.2 m</t>
  </si>
  <si>
    <t>&gt;1.2 to &lt; 2.7 m</t>
  </si>
  <si>
    <t>2.7 m and over</t>
  </si>
  <si>
    <t xml:space="preserve">&lt; 1.5 </t>
  </si>
  <si>
    <t xml:space="preserve">≥ 1.5 </t>
  </si>
  <si>
    <t>Double hung</t>
  </si>
  <si>
    <t>Bedroom</t>
  </si>
  <si>
    <t>Utility</t>
  </si>
  <si>
    <t>Hard</t>
  </si>
  <si>
    <t>Soft</t>
  </si>
  <si>
    <t>Hard Floor?</t>
  </si>
  <si>
    <t>Winter Radiation Factors</t>
  </si>
  <si>
    <t>Summer Radiation Factors</t>
  </si>
  <si>
    <t>Width Class</t>
  </si>
  <si>
    <t>Height Class</t>
  </si>
  <si>
    <t>If direct % input</t>
  </si>
  <si>
    <t>Openable Area</t>
  </si>
  <si>
    <t>If default opening type used</t>
  </si>
  <si>
    <t>Openable Area %</t>
  </si>
  <si>
    <t>Openable Area of window</t>
  </si>
  <si>
    <t>Number of storeys</t>
  </si>
  <si>
    <t>Other Hard surface</t>
  </si>
  <si>
    <t>Storeys</t>
  </si>
  <si>
    <t>Two or more</t>
  </si>
  <si>
    <t>Brick Cavity</t>
  </si>
  <si>
    <t>Yes, full brick house</t>
  </si>
  <si>
    <t>Zone Lookup Calculation</t>
  </si>
  <si>
    <t>Zone_Lookup</t>
  </si>
  <si>
    <t>S_Slab_Fact</t>
  </si>
  <si>
    <t>S_Timb_Fact</t>
  </si>
  <si>
    <t>W_Slab_Fact</t>
  </si>
  <si>
    <t>W_Timb_Fact</t>
  </si>
  <si>
    <t>OC_Fact_Slab</t>
  </si>
  <si>
    <t>OC_Fact_Timb</t>
  </si>
  <si>
    <t>Slab or Timber Calculation?</t>
  </si>
  <si>
    <t>Up_Win_Area</t>
  </si>
  <si>
    <t>Openable/Floor</t>
  </si>
  <si>
    <t>Zone_Col</t>
  </si>
  <si>
    <t>Std</t>
  </si>
  <si>
    <t>Window Openability (for calculation of Cshgc)</t>
  </si>
  <si>
    <t>actual Es x Radiation Multiplier (CS)</t>
  </si>
  <si>
    <t>In dwellings with a mixture of Direct Contact and Suspended floors on the lowest level the factors selected for radiation and conduction modifiers will be slab if this is greater than 50% of the ground floor area</t>
  </si>
  <si>
    <t>Zone_Col replaces Zone in lookups because there are now 2 versions of Zone 5: one for Perth with Brick Cavity walls, and the other for non brick cavity walls</t>
  </si>
  <si>
    <t>check Open area &lt;&gt; Area</t>
  </si>
  <si>
    <t>With separate factors for suspended floors and direct contact floors it is not clear how interpolation would work</t>
  </si>
  <si>
    <t>Temporary lookup assist, delete when finished</t>
  </si>
  <si>
    <t>Zone</t>
  </si>
  <si>
    <t>Floor Solar abs Classification</t>
  </si>
  <si>
    <t>Winter Conduction Factors</t>
  </si>
  <si>
    <t>Orient-ation Conduct-ion Factor</t>
  </si>
  <si>
    <t>Bedroom Conduct-ion factor</t>
  </si>
  <si>
    <t>Room Factor</t>
  </si>
  <si>
    <t>Level factor</t>
  </si>
  <si>
    <t>Ground: Direct</t>
  </si>
  <si>
    <t>Ground: Suspended</t>
  </si>
  <si>
    <t>Orient No.</t>
  </si>
  <si>
    <t>Orien-tation  Number</t>
  </si>
  <si>
    <t>Orient_Num</t>
  </si>
  <si>
    <t>Bed Con</t>
  </si>
  <si>
    <t>Con-duction Multiplier</t>
  </si>
  <si>
    <t>Floor Surface Factor H</t>
  </si>
  <si>
    <t>Bedroom Solar Gain Factor</t>
  </si>
  <si>
    <t>Room Factor R</t>
  </si>
  <si>
    <t>Level Factor L1</t>
  </si>
  <si>
    <t>Frame Colour Factor Dark F</t>
  </si>
  <si>
    <t>Frame Colour Factor Medium F</t>
  </si>
  <si>
    <t>Frame Colour Factor Light F</t>
  </si>
  <si>
    <t>Summer Radiation Multiplier</t>
  </si>
  <si>
    <t>Winter  Radiation Multiplier</t>
  </si>
  <si>
    <t>Is the window on the ground level or an upper level?</t>
  </si>
  <si>
    <t>What is the floor covering of the floor immediately adjacent to the window?</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</si>
  <si>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</si>
  <si>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</si>
  <si>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Now fixed to FALSE</t>
  </si>
  <si>
    <t>B is now set for timber (Suspended)</t>
  </si>
  <si>
    <t>A is now set for slab (Direct Contact)</t>
  </si>
  <si>
    <t>% Ew</t>
  </si>
  <si>
    <t>text</t>
  </si>
  <si>
    <t>Gain %</t>
  </si>
  <si>
    <t>Loss %</t>
  </si>
  <si>
    <t>Conductance / Gain without this window</t>
  </si>
  <si>
    <t>% of winter heat loss</t>
  </si>
  <si>
    <t>% of winter heat gain</t>
  </si>
  <si>
    <t>%Cu allowed</t>
  </si>
  <si>
    <t>%Cshgc allowed</t>
  </si>
  <si>
    <t>Cu_achieved</t>
  </si>
  <si>
    <t>C shgc_achieved</t>
  </si>
  <si>
    <t>(H-h)/depth</t>
  </si>
  <si>
    <t>One</t>
  </si>
  <si>
    <t>Level/ Floor Type</t>
  </si>
  <si>
    <t xml:space="preserve">Adjacent Floor Covering </t>
  </si>
  <si>
    <t>Es no Mult</t>
  </si>
  <si>
    <t>col</t>
  </si>
  <si>
    <t>Winter outcomes</t>
  </si>
  <si>
    <t>A utility room is a bathroom, laundry or WC that does not contain space or central heating or cooling outlets. This does not include electric radiators which are designed to be used only when the room is occupied.</t>
  </si>
  <si>
    <t>Differences between suspended floors and floors in direct contact with the ground</t>
  </si>
  <si>
    <t>Factors affecting impact of glazing performance</t>
  </si>
  <si>
    <t>Orient-ation</t>
  </si>
  <si>
    <t>The values in the table opposite were obtained by inspecting window sizing charts from the largest manufacturers in Australia and obtaining an average value.</t>
  </si>
  <si>
    <t>Carp</t>
  </si>
  <si>
    <t>C Tile</t>
  </si>
  <si>
    <t>Timb</t>
  </si>
  <si>
    <t>Conc</t>
  </si>
  <si>
    <t>V Tile</t>
  </si>
  <si>
    <t>Wagga Wagga</t>
  </si>
  <si>
    <t>Sydney</t>
  </si>
  <si>
    <t>Canberra</t>
  </si>
  <si>
    <t>Projecttion for summer</t>
  </si>
  <si>
    <t>Projecttion for winter</t>
  </si>
  <si>
    <t>changed factors to represent Canberra Not Hobart</t>
  </si>
  <si>
    <t>Check factors affecting are input in cells below</t>
  </si>
  <si>
    <t>Row Start</t>
  </si>
  <si>
    <t>Row end</t>
  </si>
  <si>
    <t>Col Star</t>
  </si>
  <si>
    <t>Col En.</t>
  </si>
  <si>
    <t>Address</t>
  </si>
  <si>
    <t>issue message part 2</t>
  </si>
  <si>
    <t>invalid SHGC, SHGC must not exceed 0.7</t>
  </si>
  <si>
    <t>Overhang projection and depth measurements.</t>
  </si>
  <si>
    <t>1. Displaying the calculator form</t>
  </si>
  <si>
    <t>Suspended upper floor(s)</t>
  </si>
  <si>
    <t>2. Adding and changing details</t>
  </si>
  <si>
    <t>3. Error and alert messages</t>
  </si>
  <si>
    <t>DudFactors</t>
  </si>
  <si>
    <t>The calculator achieves a better alignment with the requirements of NatHERS simulations at 7 stars.</t>
  </si>
  <si>
    <t>Winter requirements pass if the glazing performance is equivalent to the average heating load at 7 stars.</t>
  </si>
  <si>
    <t>Summer requirements pass if the glazing performance is equivalent to the average cooling load at 7 stars.</t>
  </si>
  <si>
    <t>There are a number of new data inputs required. These define similar properties to those assumed for NatHERS simulation. The reason for the inclusion of these new inputs are described below.</t>
  </si>
  <si>
    <t>Extensively revised calculator for use with NCC 2022 ABCB Housing Provisions Standard</t>
  </si>
  <si>
    <t>A record of changes made to each version of the calculator appears at the end of this Help section. (Scroll down to see the version history.)</t>
  </si>
  <si>
    <t>Displaying the calculator form:</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</si>
  <si>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</si>
  <si>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</si>
  <si>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If copying data between cells, always use Paste Special | Paste Values to avoid formatting errors on the calculator form.</t>
  </si>
  <si>
    <t>The calculator has been designed to identify anticipated input errors but may not trap all invalid inputs.</t>
  </si>
  <si>
    <t>The calculator form can be printed using the File | Print menu.</t>
  </si>
  <si>
    <t>These Help instructions can be printed (using File | Print) for ready reference while using the calculator form.</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</si>
  <si>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</si>
  <si>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The 2019 Glazing Calculator required users to produce one calculator for each level. The 2022 Glazing Calculator now allows multiple level dwellings to be assessed. To do this the user must specify that the building is "Two or more storeys" above the window inputs. </t>
  </si>
  <si>
    <t xml:space="preserve">All new data entries have fixed options available, accessed by clicking on the down arrow next to the selected cell. Guidance on what to select is shown in Tips, displayed when the mouse hovers over the column heading. </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</si>
  <si>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</si>
  <si>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the most cost-effective method of achieving compliance is to install higher performance glazing in living areas first. This factor ensures that a similar outcome is achieved with the calculator.</t>
  </si>
  <si>
    <t xml:space="preserve">The level factor was developed to allow the calculator to model all storeys in a dwelling in one calculation rather than require a separate calculator for each level. </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</si>
  <si>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</si>
  <si>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Window openability is now entered into the calculator. 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In locations like Darwin and Sydney, this new factor allows window areas to be increased by significantly more than the previous "highly ventilated" dwelling allowance in NCC 2019.</t>
  </si>
  <si>
    <t>Floor area of the dwelling</t>
  </si>
  <si>
    <t>What is the openability of the window?</t>
  </si>
  <si>
    <t>The proportion of winter heat loss and winter heat gain for each window is now shown. The proportion of the target achieved is now shown in the column heading.</t>
  </si>
  <si>
    <t>NCC 2019 set different targets for dwellings with suspended floors and floors in direct contact with the ground, but used the same summer and winter solar exposure factors for both types. The winter and summer exposure factors have been developed for each type of floor to reflect the different impacts of solar gains through windows for dwellings with each type of floor.</t>
  </si>
  <si>
    <t>Changes to seasonal requirements for climate zone 1 (hot humid) and climate zone 8 (alpine)</t>
  </si>
  <si>
    <t>In climate zone 1, there is now no requirement for meeting conductance performance targets.</t>
  </si>
  <si>
    <t>In climate zone 8, there is now no requirement to meet a summer solar gain target.</t>
  </si>
  <si>
    <t>Window default openability assumptions</t>
  </si>
  <si>
    <t>See Table 1.</t>
  </si>
  <si>
    <t>Table 1: Default openability assumptions for windows</t>
  </si>
  <si>
    <t xml:space="preserve">The calculator has been developed in the Windows ® versions of Microsoft Excel ® 2007 and above. </t>
  </si>
  <si>
    <t>Details above the glazing elements table (including at least one floor type) and at least one glazing element must be supplied for calculator outcomes to be displayed.</t>
  </si>
  <si>
    <t xml:space="preserve">Calculator outcomes resulting in a "tick" are valid only if all of the input details comply with NCC elemental DTS requirements. The claimed air movement level must be verified by separate calculation, since this is not checked by the calculator.
</t>
  </si>
  <si>
    <t xml:space="preserve">Floor construction </t>
  </si>
  <si>
    <t xml:space="preserve">Direct contact </t>
  </si>
  <si>
    <t xml:space="preserve">Ground suspended </t>
  </si>
  <si>
    <t>Facing sector</t>
  </si>
  <si>
    <t>Level/ Floor type</t>
  </si>
  <si>
    <t>Frame colour</t>
  </si>
  <si>
    <t>Calculation data</t>
  </si>
  <si>
    <t>Summer outcomes</t>
  </si>
  <si>
    <t xml:space="preserve">The calculator form has been designed for viewing as a whole "page" with 10 rows visible in the glazing elements table (at 70% zoom - assuming a minimum screen resolution of 1024 x 768 pixels). </t>
  </si>
  <si>
    <t>Element share
% of
allowance used</t>
  </si>
  <si>
    <t>3.00 (June 2019):</t>
  </si>
  <si>
    <t>New features of NCC Volume Two Glazing Calculator for NCC 2022</t>
  </si>
  <si>
    <t xml:space="preserve"> </t>
  </si>
  <si>
    <t>Overhang projection and depth measurements are needed for the calculator. See figure 13.3.2b from the ABCB Housing Provisions Standards for details on P and H.</t>
  </si>
  <si>
    <t>Missing inputs anywhere on the form are generally highlighted by error messages. Invalid inputs or those which may be contributing to outcomes failures are highlighted by red fill.</t>
  </si>
  <si>
    <t>The Help button shown on the bottom left of the calculator form.</t>
  </si>
  <si>
    <r>
      <t>C</t>
    </r>
    <r>
      <rPr>
        <vertAlign val="subscript"/>
        <sz val="14"/>
        <rFont val="Arial"/>
        <family val="2"/>
      </rPr>
      <t>U</t>
    </r>
  </si>
  <si>
    <r>
      <t>C</t>
    </r>
    <r>
      <rPr>
        <vertAlign val="subscript"/>
        <sz val="14"/>
        <rFont val="Arial"/>
        <family val="2"/>
      </rPr>
      <t>SHGC</t>
    </r>
  </si>
  <si>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</si>
  <si>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 S</t>
    </r>
    <r>
      <rPr>
        <sz val="14"/>
        <rFont val="Arial"/>
        <family val="2"/>
      </rPr>
      <t xml:space="preserve"> x area</t>
    </r>
  </si>
  <si>
    <r>
      <t xml:space="preserve">P&amp;H </t>
    </r>
    <r>
      <rPr>
        <sz val="14"/>
        <color theme="0"/>
        <rFont val="Arial"/>
        <family val="2"/>
      </rPr>
      <t>or</t>
    </r>
    <r>
      <rPr>
        <b/>
        <sz val="14"/>
        <color theme="0"/>
        <rFont val="Arial"/>
        <family val="2"/>
      </rPr>
      <t xml:space="preserve"> Device</t>
    </r>
  </si>
  <si>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</si>
  <si>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</si>
  <si>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</si>
  <si>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</si>
  <si>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</si>
  <si>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</si>
  <si>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</si>
  <si>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</si>
  <si>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E</t>
    </r>
    <r>
      <rPr>
        <b/>
        <vertAlign val="subscript"/>
        <sz val="14"/>
        <color theme="0"/>
        <rFont val="Arial"/>
        <family val="2"/>
      </rPr>
      <t>s</t>
    </r>
  </si>
  <si>
    <r>
      <t xml:space="preserve">Area used
</t>
    </r>
    <r>
      <rPr>
        <sz val="14"/>
        <color theme="0"/>
        <rFont val="Arial"/>
        <family val="2"/>
      </rPr>
      <t>(m²)</t>
    </r>
  </si>
  <si>
    <r>
      <t>SHGC x
E</t>
    </r>
    <r>
      <rPr>
        <b/>
        <vertAlign val="subscript"/>
        <sz val="14"/>
        <color theme="0"/>
        <rFont val="Arial"/>
        <family val="2"/>
      </rPr>
      <t>s</t>
    </r>
    <r>
      <rPr>
        <b/>
        <sz val="14"/>
        <color theme="0"/>
        <rFont val="Arial"/>
        <family val="2"/>
      </rPr>
      <t xml:space="preserve"> x Area</t>
    </r>
  </si>
  <si>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</si>
  <si>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r>
      <t xml:space="preserve">Floor areas </t>
    </r>
    <r>
      <rPr>
        <b/>
        <i/>
        <sz val="12"/>
        <rFont val="Arial"/>
        <family val="2"/>
      </rPr>
      <t>must be measured to the inside of external and internal walls</t>
    </r>
    <r>
      <rPr>
        <sz val="12"/>
        <rFont val="Arial"/>
        <family val="2"/>
      </rPr>
      <t>. A new data input for the area of upper floors is also required.</t>
    </r>
  </si>
  <si>
    <r>
      <t>NCC 2019 showed the proportion of conduction heat loss for each window as a percentage of the winter C</t>
    </r>
    <r>
      <rPr>
        <vertAlign val="subscript"/>
        <sz val="12"/>
        <rFont val="Arial"/>
        <family val="2"/>
      </rPr>
      <t>U</t>
    </r>
    <r>
      <rPr>
        <sz val="12"/>
        <rFont val="Arial"/>
        <family val="2"/>
      </rPr>
      <t>/C</t>
    </r>
    <r>
      <rPr>
        <vertAlign val="subscript"/>
        <sz val="12"/>
        <rFont val="Arial"/>
        <family val="2"/>
      </rPr>
      <t>SHGC</t>
    </r>
    <r>
      <rPr>
        <sz val="12"/>
        <rFont val="Arial"/>
        <family val="2"/>
      </rPr>
      <t xml:space="preserve"> score. </t>
    </r>
  </si>
  <si>
    <t>Minor style updates to remove beta stage</t>
  </si>
  <si>
    <t>Calculator version (4.1):</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</si>
  <si>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</si>
  <si>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4.0 (September 2022):</t>
  </si>
  <si>
    <t>Room type Bedroom / Utility? / Other</t>
  </si>
  <si>
    <t>floor area(s) not entered for relevant floor types</t>
  </si>
  <si>
    <t>factor(s) affecting glazing performance</t>
  </si>
  <si>
    <t>glazing Height</t>
  </si>
  <si>
    <t>Size (Height &amp; Width or Area)</t>
  </si>
  <si>
    <t>4.2 (September 2023)</t>
  </si>
  <si>
    <t>Minor edit to correct drop down box for climate zone 5</t>
  </si>
  <si>
    <t>4.1 (March 2023):</t>
  </si>
  <si>
    <t>Adjacent Floor Covering</t>
  </si>
  <si>
    <t>4.3 (November 2023)</t>
  </si>
  <si>
    <t>Minor editorial to column headings</t>
  </si>
  <si>
    <t>Calculator version (4.3):</t>
  </si>
  <si>
    <t>Version 4.3 of the Glazing Calculator (calculator) was first issued for use under Part 13.3 External glazing of the NCC 2022 ABCB Housing Provisions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</si>
</sst>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0.0"/>
    <numFmt numFmtId="186" formatCode="0.0_ ;[Red]\-0.0\ ;"/>
    <numFmt numFmtId="187" formatCode="0%;;"/>
    <numFmt numFmtId="188" formatCode="0.000;;"/>
    <numFmt numFmtId="189" formatCode="0.0000"/>
    <numFmt numFmtId="190" formatCode="0.0%"/>
    <numFmt numFmtId="191" formatCode="0.0000_ ;[Red]\-0.0000\ "/>
    <numFmt numFmtId="192" formatCode="0.0000_ ;[Red]\-0.0000_ ;&quot;inactive&quot;"/>
  </numFmts>
  <fonts count="135"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sz val="10"/>
      <color indexed="23"/>
      <name val="Arial"/>
      <family val="2"/>
    </font>
    <font>
      <b/>
      <i/>
      <sz val="10"/>
      <name val="Arial"/>
      <family val="2"/>
    </font>
    <font>
      <b/>
      <sz val="8"/>
      <color indexed="81"/>
      <name val="Tahoma"/>
      <family val="2"/>
    </font>
    <font>
      <sz val="8"/>
      <color indexed="81"/>
      <name val="Tahoma"/>
      <family val="2"/>
    </font>
    <font>
      <i/>
      <sz val="10"/>
      <color indexed="23"/>
      <name val="Arial"/>
      <family val="2"/>
    </font>
    <font>
      <b/>
      <i/>
      <sz val="10"/>
      <color indexed="9"/>
      <name val="Arial"/>
      <family val="2"/>
    </font>
    <font>
      <sz val="8"/>
      <color indexed="23"/>
      <name val="Arial"/>
      <family val="2"/>
    </font>
    <font>
      <i/>
      <sz val="8"/>
      <color indexed="12"/>
      <name val="Arial"/>
      <family val="2"/>
    </font>
    <font>
      <vertAlign val="subscript"/>
      <sz val="10"/>
      <name val="Arial"/>
      <family val="2"/>
    </font>
    <font>
      <b/>
      <sz val="12"/>
      <color indexed="10"/>
      <name val="Arial"/>
      <family val="2"/>
    </font>
    <font>
      <sz val="8"/>
      <color indexed="12"/>
      <name val="Arial"/>
      <family val="2"/>
    </font>
    <font>
      <b/>
      <i/>
      <sz val="10"/>
      <color indexed="53"/>
      <name val="Arial"/>
      <family val="2"/>
    </font>
    <font>
      <sz val="10"/>
      <color indexed="10"/>
      <name val="Arial"/>
      <family val="2"/>
    </font>
    <font>
      <b/>
      <sz val="10"/>
      <color indexed="10"/>
      <name val="Arial"/>
      <family val="2"/>
    </font>
    <font>
      <sz val="10"/>
      <color indexed="12"/>
      <name val="Arial"/>
      <family val="2"/>
    </font>
    <font>
      <b/>
      <sz val="12"/>
      <color indexed="12"/>
      <name val="Arial"/>
      <family val="2"/>
    </font>
    <font>
      <sz val="14"/>
      <name val="Arial"/>
      <family val="2"/>
    </font>
    <font>
      <sz val="2"/>
      <color indexed="9"/>
      <name val="Arial"/>
      <family val="2"/>
    </font>
    <font>
      <sz val="9"/>
      <color indexed="81"/>
      <name val="Tahoma"/>
      <family val="2"/>
    </font>
    <font>
      <b/>
      <sz val="9"/>
      <color indexed="81"/>
      <name val="Tahoma"/>
      <family val="2"/>
    </font>
    <font>
      <sz val="8"/>
      <color rgb="FF0000FF"/>
      <name val="Arial"/>
      <family val="2"/>
    </font>
    <font>
      <b/>
      <sz val="10"/>
      <color rgb="FF0000FF"/>
      <name val="Arial"/>
      <family val="2"/>
    </font>
    <font>
      <sz val="10"/>
      <color rgb="FF0000FF"/>
      <name val="Arial"/>
      <family val="2"/>
    </font>
    <font>
      <b/>
      <sz val="14"/>
      <name val="Arial"/>
      <family val="2"/>
    </font>
    <font>
      <b/>
      <i/>
      <sz val="14"/>
      <color indexed="53"/>
      <name val="Arial"/>
      <family val="2"/>
    </font>
    <font>
      <b/>
      <sz val="14"/>
      <color theme="1"/>
      <name val="Arial"/>
      <family val="2"/>
    </font>
    <font>
      <i/>
      <sz val="14"/>
      <color theme="1"/>
      <name val="Arial"/>
      <family val="2"/>
    </font>
    <font>
      <sz val="14"/>
      <color theme="1"/>
      <name val="Arial"/>
      <family val="2"/>
    </font>
    <font>
      <sz val="11"/>
      <color theme="0"/>
      <name val="Calibri"/>
      <family val="2"/>
      <scheme val="minor"/>
    </font>
    <font>
      <strike/>
      <sz val="8"/>
      <name val="Arial"/>
      <family val="2"/>
    </font>
    <font>
      <strike/>
      <sz val="10"/>
      <name val="Arial"/>
      <family val="2"/>
    </font>
    <font>
      <strike/>
      <vertAlign val="subscript"/>
      <sz val="10"/>
      <name val="Arial"/>
      <family val="2"/>
    </font>
    <font>
      <sz val="10"/>
      <color theme="1"/>
      <name val="Arial"/>
      <family val="2"/>
    </font>
    <font>
      <sz val="10"/>
      <color rgb="FF000000"/>
      <name val="Arial"/>
      <family val="2"/>
    </font>
    <font>
      <b/>
      <sz val="10"/>
      <color theme="0"/>
      <name val="Arial"/>
      <family val="2"/>
    </font>
    <font>
      <b/>
      <sz val="10"/>
      <color rgb="FFFFFFFF"/>
      <name val="Arial"/>
      <family val="2"/>
    </font>
    <font>
      <b/>
      <sz val="10"/>
      <color rgb="FF000000"/>
      <name val="Arial"/>
      <family val="2"/>
    </font>
    <font>
      <sz val="10"/>
      <color theme="0"/>
      <name val="Arial"/>
      <family val="2"/>
    </font>
    <font>
      <b/>
      <sz val="11"/>
      <color theme="0"/>
      <name val="Calibri"/>
      <family val="2"/>
      <scheme val="minor"/>
    </font>
    <font>
      <sz val="20"/>
      <name val="Inter"/>
      <family val="2"/>
    </font>
    <font>
      <sz val="10"/>
      <name val="Inter"/>
      <family val="2"/>
    </font>
    <font>
      <b/>
      <sz val="10"/>
      <name val="Inter"/>
      <family val="2"/>
    </font>
    <font>
      <b/>
      <sz val="8"/>
      <name val="Inter"/>
      <family val="2"/>
    </font>
    <font>
      <sz val="10"/>
      <color indexed="23"/>
      <name val="Inter"/>
      <family val="2"/>
    </font>
    <font>
      <i/>
      <sz val="8"/>
      <color indexed="12"/>
      <name val="Inter"/>
      <family val="2"/>
    </font>
    <font>
      <b/>
      <i/>
      <sz val="10"/>
      <color indexed="10"/>
      <name val="Inter"/>
      <family val="2"/>
    </font>
    <font>
      <b/>
      <sz val="8"/>
      <color indexed="9"/>
      <name val="Inter"/>
      <family val="2"/>
    </font>
    <font>
      <b/>
      <sz val="14"/>
      <name val="Inter"/>
      <family val="2"/>
    </font>
    <font>
      <sz val="8"/>
      <color rgb="FFFF0000"/>
      <name val="Inter"/>
      <family val="2"/>
    </font>
    <font>
      <sz val="14"/>
      <name val="Inter"/>
      <family val="2"/>
    </font>
    <font>
      <sz val="8"/>
      <name val="Inter"/>
      <family val="2"/>
    </font>
    <font>
      <i/>
      <sz val="10"/>
      <color indexed="12"/>
      <name val="Inter"/>
      <family val="2"/>
    </font>
    <font>
      <sz val="8"/>
      <color indexed="23"/>
      <name val="Inter"/>
      <family val="2"/>
    </font>
    <font>
      <b/>
      <i/>
      <sz val="10"/>
      <color indexed="23"/>
      <name val="Inter"/>
      <family val="2"/>
    </font>
    <font>
      <b/>
      <i/>
      <sz val="10"/>
      <name val="Inter"/>
      <family val="2"/>
    </font>
    <font>
      <i/>
      <sz val="10"/>
      <name val="Inter"/>
      <family val="2"/>
    </font>
    <font>
      <i/>
      <sz val="8"/>
      <color indexed="23"/>
      <name val="Inter"/>
      <family val="2"/>
    </font>
    <font>
      <b/>
      <sz val="8"/>
      <color indexed="23"/>
      <name val="Inter"/>
      <family val="2"/>
    </font>
    <font>
      <b/>
      <i/>
      <sz val="10"/>
      <color rgb="FFFF0000"/>
      <name val="Inter"/>
      <family val="2"/>
    </font>
    <font>
      <b/>
      <i/>
      <sz val="10"/>
      <color indexed="9"/>
      <name val="Inter"/>
      <family val="2"/>
    </font>
    <font>
      <b/>
      <sz val="10"/>
      <color rgb="FFFF0000"/>
      <name val="Inter"/>
      <family val="2"/>
    </font>
    <font>
      <i/>
      <sz val="10"/>
      <color indexed="23"/>
      <name val="Inter"/>
      <family val="2"/>
    </font>
    <font>
      <b/>
      <sz val="10"/>
      <color indexed="23"/>
      <name val="Inter"/>
      <family val="2"/>
    </font>
    <font>
      <sz val="14"/>
      <color theme="1"/>
      <name val="Inter"/>
      <family val="2"/>
    </font>
    <font>
      <sz val="8"/>
      <color indexed="9"/>
      <name val="Inter"/>
      <family val="2"/>
    </font>
    <font>
      <i/>
      <sz val="8"/>
      <color indexed="55"/>
      <name val="Inter"/>
      <family val="2"/>
    </font>
    <font>
      <i/>
      <sz val="8"/>
      <color indexed="10"/>
      <name val="Inter"/>
      <family val="2"/>
    </font>
    <font>
      <b/>
      <sz val="8"/>
      <color indexed="10"/>
      <name val="Inter"/>
      <family val="2"/>
    </font>
    <font>
      <b/>
      <sz val="11"/>
      <color theme="0"/>
      <name val="Inter"/>
      <family val="2"/>
    </font>
    <font>
      <sz val="14"/>
      <color indexed="9"/>
      <name val="Inter"/>
      <family val="2"/>
    </font>
    <font>
      <b/>
      <sz val="14"/>
      <color theme="1"/>
      <name val="Inter"/>
      <family val="2"/>
    </font>
    <font>
      <i/>
      <sz val="14"/>
      <color theme="1"/>
      <name val="Inter"/>
      <family val="2"/>
    </font>
    <font>
      <sz val="8"/>
      <color rgb="FF808080"/>
      <name val="Inter"/>
      <family val="2"/>
    </font>
    <font>
      <i/>
      <sz val="8"/>
      <color theme="0"/>
      <name val="Inter"/>
      <family val="2"/>
    </font>
    <font>
      <sz val="2"/>
      <color indexed="9"/>
      <name val="Inter"/>
      <family val="2"/>
    </font>
    <font>
      <b/>
      <sz val="10"/>
      <color theme="1" tint="0.499984740745262"/>
      <name val="Inter"/>
      <family val="2"/>
    </font>
    <font>
      <b/>
      <i/>
      <sz val="8"/>
      <color indexed="17"/>
      <name val="Inter"/>
      <family val="2"/>
    </font>
    <font>
      <sz val="10"/>
      <color theme="1" tint="0.499984740745262"/>
      <name val="Inter"/>
      <family val="2"/>
    </font>
    <font>
      <b/>
      <i/>
      <sz val="8"/>
      <color indexed="10"/>
      <name val="Inter"/>
      <family val="2"/>
    </font>
    <font>
      <sz val="10"/>
      <color theme="0"/>
      <name val="Inter"/>
      <family val="2"/>
    </font>
    <font>
      <sz val="10"/>
      <color rgb="FFFF0000"/>
      <name val="Inter"/>
      <family val="2"/>
    </font>
    <font>
      <i/>
      <sz val="8"/>
      <name val="Inter"/>
      <family val="2"/>
    </font>
    <font>
      <b/>
      <i/>
      <sz val="8"/>
      <name val="Inter"/>
      <family val="2"/>
    </font>
    <font>
      <i/>
      <sz val="10"/>
      <color rgb="FFFF0000"/>
      <name val="Inter"/>
      <family val="2"/>
    </font>
    <font>
      <b/>
      <i/>
      <sz val="10"/>
      <color rgb="FF008000"/>
      <name val="Inter"/>
      <family val="2"/>
    </font>
    <font>
      <i/>
      <sz val="10"/>
      <color rgb="FF0000FF"/>
      <name val="Inter"/>
      <family val="2"/>
    </font>
    <font>
      <b/>
      <i/>
      <sz val="8"/>
      <color theme="0"/>
      <name val="Inter"/>
      <family val="2"/>
    </font>
    <font>
      <i/>
      <sz val="8"/>
      <color indexed="9"/>
      <name val="Inter"/>
      <family val="2"/>
    </font>
    <font>
      <sz val="8"/>
      <color rgb="FF0000FF"/>
      <name val="Inter"/>
      <family val="2"/>
    </font>
    <font>
      <i/>
      <sz val="10"/>
      <color indexed="9"/>
      <name val="Inter"/>
      <family val="2"/>
    </font>
    <font>
      <b/>
      <sz val="14"/>
      <color theme="0"/>
      <name val="Arial"/>
      <family val="2"/>
    </font>
    <font>
      <sz val="20"/>
      <name val="Arial"/>
      <family val="2"/>
    </font>
    <font>
      <b/>
      <sz val="16"/>
      <name val="Arial"/>
      <family val="2"/>
    </font>
    <font>
      <b/>
      <sz val="16"/>
      <color indexed="9"/>
      <name val="Arial"/>
      <family val="2"/>
    </font>
    <font>
      <sz val="16"/>
      <color indexed="9"/>
      <name val="Arial"/>
      <family val="2"/>
    </font>
    <font>
      <b/>
      <sz val="18"/>
      <color theme="0"/>
      <name val="Arial"/>
      <family val="2"/>
    </font>
    <font>
      <b/>
      <sz val="16"/>
      <color theme="0"/>
      <name val="Arial"/>
      <family val="2"/>
    </font>
    <font>
      <vertAlign val="subscript"/>
      <sz val="14"/>
      <name val="Arial"/>
      <family val="2"/>
    </font>
    <font>
      <b/>
      <i/>
      <sz val="14"/>
      <color indexed="9"/>
      <name val="Arial"/>
      <family val="2"/>
    </font>
    <font>
      <i/>
      <sz val="14"/>
      <color indexed="53"/>
      <name val="Arial"/>
      <family val="2"/>
    </font>
    <font>
      <b/>
      <i/>
      <sz val="14"/>
      <color rgb="FFFF0000"/>
      <name val="Arial"/>
      <family val="2"/>
    </font>
    <font>
      <b/>
      <sz val="14"/>
      <color rgb="FFFF0000"/>
      <name val="Arial"/>
      <family val="2"/>
    </font>
    <font>
      <sz val="14"/>
      <color rgb="FFC7CBCE"/>
      <name val="Arial"/>
      <family val="2"/>
    </font>
    <font>
      <b/>
      <i/>
      <sz val="14"/>
      <color rgb="FFC7CBCE"/>
      <name val="Arial"/>
      <family val="2"/>
    </font>
    <font>
      <b/>
      <i/>
      <sz val="14"/>
      <color indexed="17"/>
      <name val="Arial"/>
      <family val="2"/>
    </font>
    <font>
      <i/>
      <sz val="14"/>
      <name val="Arial"/>
      <family val="2"/>
    </font>
    <font>
      <sz val="14"/>
      <color rgb="FFFF0000"/>
      <name val="Arial"/>
      <family val="2"/>
    </font>
    <font>
      <b/>
      <sz val="10"/>
      <color rgb="FFFF0000"/>
      <name val="Arial"/>
      <family val="2"/>
    </font>
    <font>
      <b/>
      <i/>
      <sz val="14"/>
      <color theme="0"/>
      <name val="Arial"/>
      <family val="2"/>
    </font>
    <font>
      <sz val="14"/>
      <color theme="0"/>
      <name val="Arial"/>
      <family val="2"/>
    </font>
    <font>
      <b/>
      <vertAlign val="subscript"/>
      <sz val="14"/>
      <color theme="0"/>
      <name val="Arial"/>
      <family val="2"/>
    </font>
    <font>
      <sz val="14"/>
      <color indexed="9"/>
      <name val="Arial"/>
      <family val="2"/>
    </font>
    <font>
      <b/>
      <sz val="12"/>
      <name val="Arial"/>
      <family val="2"/>
    </font>
    <font>
      <b/>
      <i/>
      <sz val="12"/>
      <name val="Arial"/>
      <family val="2"/>
    </font>
    <font>
      <sz val="9"/>
      <name val="Arial"/>
      <family val="2"/>
    </font>
    <font>
      <b/>
      <sz val="12"/>
      <color indexed="81"/>
      <name val="Arial"/>
      <family val="2"/>
    </font>
    <font>
      <sz val="12"/>
      <color indexed="81"/>
      <name val="Arial"/>
      <family val="2"/>
    </font>
    <font>
      <b/>
      <i/>
      <sz val="12"/>
      <color indexed="81"/>
      <name val="Arial"/>
      <family val="2"/>
    </font>
    <font>
      <i/>
      <sz val="12"/>
      <color indexed="81"/>
      <name val="Arial"/>
      <family val="2"/>
    </font>
    <font>
      <sz val="9"/>
      <color indexed="81"/>
      <name val="Arial"/>
      <family val="2"/>
    </font>
    <font>
      <sz val="14"/>
      <color indexed="23"/>
      <name val="Arial"/>
      <family val="2"/>
    </font>
    <font>
      <sz val="12"/>
      <name val="Arial"/>
      <family val="2"/>
    </font>
    <font>
      <sz val="12"/>
      <color indexed="23"/>
      <name val="Arial"/>
      <family val="2"/>
    </font>
    <font>
      <vertAlign val="subscript"/>
      <sz val="12"/>
      <name val="Arial"/>
      <family val="2"/>
    </font>
    <font>
      <sz val="12"/>
      <color rgb="FF002E5D"/>
      <name val="Arial"/>
      <family val="2"/>
    </font>
    <font>
      <b/>
      <sz val="72"/>
      <name val="Wingdings"/>
      <charset val="2"/>
    </font>
  </fonts>
  <fills count="3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theme="0"/>
        <bgColor indexed="64"/>
      </patternFill>
    </fill>
    <fill>
      <patternFill patternType="solid">
        <fgColor rgb="FFC7CBCE"/>
        <bgColor indexed="64"/>
      </patternFill>
    </fill>
    <fill>
      <patternFill patternType="solid">
        <fgColor theme="0"/>
        <bgColor theme="0"/>
      </patternFill>
    </fill>
    <fill>
      <patternFill patternType="solid">
        <fgColor theme="5"/>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theme="1"/>
        <bgColor theme="1"/>
      </patternFill>
    </fill>
    <fill>
      <patternFill patternType="solid">
        <fgColor theme="7"/>
        <bgColor indexed="64"/>
      </patternFill>
    </fill>
    <fill>
      <patternFill patternType="solid">
        <fgColor rgb="FF000000"/>
        <bgColor indexed="64"/>
      </patternFill>
    </fill>
    <fill>
      <patternFill patternType="solid">
        <fgColor rgb="FFCCCC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A5A5A5"/>
      </patternFill>
    </fill>
    <fill>
      <patternFill patternType="solid">
        <fgColor theme="1"/>
        <bgColor indexed="64"/>
      </patternFill>
    </fill>
    <fill>
      <patternFill patternType="solid">
        <fgColor rgb="FFDBD2C2"/>
        <bgColor indexed="64"/>
      </patternFill>
    </fill>
    <fill>
      <patternFill patternType="darkUp">
        <fgColor rgb="FFDBD2C2"/>
        <bgColor auto="1"/>
      </patternFill>
    </fill>
    <fill>
      <patternFill patternType="solid">
        <fgColor rgb="FF9E2A2B"/>
        <bgColor indexed="42"/>
      </patternFill>
    </fill>
    <fill>
      <patternFill patternType="solid">
        <fgColor rgb="FF9E2A2B"/>
        <bgColor indexed="64"/>
      </patternFill>
    </fill>
    <fill>
      <patternFill patternType="solid">
        <fgColor rgb="FF002E5D"/>
        <bgColor indexed="64"/>
      </patternFill>
    </fill>
    <fill>
      <patternFill patternType="solid">
        <fgColor rgb="FF999FA7"/>
        <bgColor indexed="64"/>
      </patternFill>
    </fill>
  </fills>
  <borders count="162">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medium">
        <color indexed="9"/>
      </left>
      <right style="thin">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right/>
      <top style="thin">
        <color rgb="FF969696"/>
      </top>
      <bottom style="thin">
        <color rgb="FF969696"/>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55"/>
      </left>
      <right style="thin">
        <color indexed="64"/>
      </right>
      <top/>
      <bottom/>
      <diagonal/>
    </border>
    <border>
      <left/>
      <right style="thin">
        <color indexed="55"/>
      </right>
      <top/>
      <bottom/>
      <diagonal/>
    </border>
    <border>
      <left style="thin">
        <color indexed="55"/>
      </left>
      <right style="thin">
        <color indexed="55"/>
      </right>
      <top/>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thin">
        <color indexed="55"/>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969696"/>
      </left>
      <right style="medium">
        <color rgb="FF969696"/>
      </right>
      <top style="medium">
        <color rgb="FF969696"/>
      </top>
      <bottom style="medium">
        <color rgb="FF969696"/>
      </bottom>
      <diagonal/>
    </border>
    <border>
      <left style="double">
        <color rgb="FF3F3F3F"/>
      </left>
      <right style="double">
        <color rgb="FF3F3F3F"/>
      </right>
      <top style="double">
        <color rgb="FF3F3F3F"/>
      </top>
      <bottom style="double">
        <color rgb="FF3F3F3F"/>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top style="thin">
        <color rgb="FF969696"/>
      </top>
      <bottom style="thin">
        <color rgb="FF969696"/>
      </bottom>
      <diagonal/>
    </border>
    <border>
      <left style="thin">
        <color theme="1"/>
      </left>
      <right style="thin">
        <color indexed="55"/>
      </right>
      <top style="thin">
        <color indexed="55"/>
      </top>
      <bottom style="thin">
        <color indexed="55"/>
      </bottom>
      <diagonal/>
    </border>
    <border>
      <left/>
      <right/>
      <top style="medium">
        <color auto="1"/>
      </top>
      <bottom/>
      <diagonal/>
    </border>
    <border>
      <left/>
      <right/>
      <top style="thin">
        <color rgb="FF969696"/>
      </top>
      <bottom/>
      <diagonal/>
    </border>
    <border>
      <left/>
      <right style="thin">
        <color indexed="64"/>
      </right>
      <top style="thin">
        <color rgb="FF969696"/>
      </top>
      <bottom/>
      <diagonal/>
    </border>
    <border>
      <left style="thin">
        <color indexed="64"/>
      </left>
      <right style="thin">
        <color indexed="64"/>
      </right>
      <top style="thin">
        <color rgb="FF969696"/>
      </top>
      <bottom/>
      <diagonal/>
    </border>
    <border>
      <left/>
      <right style="thin">
        <color indexed="55"/>
      </right>
      <top style="thin">
        <color rgb="FF969696"/>
      </top>
      <bottom/>
      <diagonal/>
    </border>
    <border>
      <left style="thin">
        <color indexed="55"/>
      </left>
      <right style="thin">
        <color indexed="55"/>
      </right>
      <top style="thin">
        <color rgb="FF969696"/>
      </top>
      <bottom/>
      <diagonal/>
    </border>
    <border>
      <left style="thin">
        <color indexed="55"/>
      </left>
      <right/>
      <top style="thin">
        <color rgb="FF969696"/>
      </top>
      <bottom/>
      <diagonal/>
    </border>
    <border>
      <left style="thin">
        <color theme="1"/>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64"/>
      </left>
      <right style="thin">
        <color indexed="55"/>
      </right>
      <top style="thin">
        <color rgb="FF969696"/>
      </top>
      <bottom/>
      <diagonal/>
    </border>
    <border>
      <left style="thin">
        <color indexed="55"/>
      </left>
      <right style="thin">
        <color indexed="64"/>
      </right>
      <top style="thin">
        <color rgb="FF969696"/>
      </top>
      <bottom/>
      <diagonal/>
    </border>
    <border>
      <left style="thin">
        <color indexed="55"/>
      </left>
      <right style="medium">
        <color indexed="64"/>
      </right>
      <top style="thin">
        <color rgb="FF969696"/>
      </top>
      <bottom/>
      <diagonal/>
    </border>
    <border>
      <left/>
      <right style="medium">
        <color indexed="64"/>
      </right>
      <top style="medium">
        <color indexed="64"/>
      </top>
      <bottom style="thin">
        <color indexed="64"/>
      </bottom>
      <diagonal/>
    </border>
    <border>
      <left style="thin">
        <color indexed="55"/>
      </left>
      <right/>
      <top style="thin">
        <color indexed="64"/>
      </top>
      <bottom/>
      <diagonal/>
    </border>
    <border>
      <left style="thin">
        <color theme="1"/>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top/>
      <bottom style="thin">
        <color rgb="FF969696"/>
      </bottom>
      <diagonal/>
    </border>
    <border>
      <left style="thin">
        <color theme="1"/>
      </left>
      <right style="thin">
        <color indexed="55"/>
      </right>
      <top/>
      <bottom style="thin">
        <color indexed="55"/>
      </bottom>
      <diagonal/>
    </border>
    <border>
      <left style="thin">
        <color indexed="55"/>
      </left>
      <right/>
      <top style="thin">
        <color indexed="55"/>
      </top>
      <bottom style="thin">
        <color indexed="55"/>
      </bottom>
      <diagonal/>
    </border>
  </borders>
  <cellStyleXfs count="7">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7" fillId="15" borderId="0" applyNumberFormat="0" applyBorder="0" applyAlignment="0" applyProtection="0"/>
    <xf numFmtId="0" fontId="47" fillId="26" borderId="136" applyNumberFormat="0" applyAlignment="0" applyProtection="0"/>
  </cellStyleXfs>
  <cellXfs count="831">
    <xf numFmtId="0" fontId="0" fillId="0" borderId="0" xfId="0"/>
    <xf numFmtId="0" fontId="7" fillId="0" borderId="0" xfId="0" applyFont="1"/>
    <xf numFmtId="0" fontId="0" fillId="2" borderId="0" xfId="0" applyFill="1"/>
    <xf numFmtId="0" fontId="1" fillId="2" borderId="0" xfId="0" applyFont="1" applyFill="1"/>
    <xf numFmtId="0" fontId="0" fillId="2" borderId="0" xfId="0" applyFill="1" applyBorder="1"/>
    <xf numFmtId="0" fontId="0" fillId="0" borderId="0" xfId="0" applyFill="1" applyProtection="1"/>
    <xf numFmtId="0" fontId="9" fillId="2" borderId="9"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15" fillId="2" borderId="12" xfId="0" applyFont="1" applyFill="1" applyBorder="1" applyAlignment="1">
      <alignment horizontal="center"/>
    </xf>
    <xf numFmtId="0" fontId="15" fillId="2" borderId="13" xfId="0" applyFont="1" applyFill="1" applyBorder="1" applyAlignment="1">
      <alignment horizontal="center"/>
    </xf>
    <xf numFmtId="0" fontId="15" fillId="2" borderId="14" xfId="0" applyFont="1" applyFill="1" applyBorder="1" applyAlignment="1">
      <alignment horizontal="center"/>
    </xf>
    <xf numFmtId="0" fontId="15" fillId="2" borderId="0" xfId="0" applyFont="1" applyFill="1" applyBorder="1" applyAlignment="1">
      <alignment horizontal="center"/>
    </xf>
    <xf numFmtId="176" fontId="9" fillId="7" borderId="15" xfId="0" applyNumberFormat="1" applyFont="1" applyFill="1" applyBorder="1" applyAlignment="1">
      <alignment horizontal="center"/>
    </xf>
    <xf numFmtId="176" fontId="9" fillId="7" borderId="9" xfId="0" applyNumberFormat="1" applyFont="1" applyFill="1" applyBorder="1" applyAlignment="1">
      <alignment horizontal="center"/>
    </xf>
    <xf numFmtId="176" fontId="9" fillId="7" borderId="12" xfId="0" applyNumberFormat="1" applyFont="1" applyFill="1" applyBorder="1" applyAlignment="1">
      <alignment horizontal="center"/>
    </xf>
    <xf numFmtId="177" fontId="9" fillId="7" borderId="15" xfId="1" applyNumberFormat="1" applyFont="1" applyFill="1" applyBorder="1" applyAlignment="1">
      <alignment horizontal="center"/>
    </xf>
    <xf numFmtId="177" fontId="9" fillId="7" borderId="9" xfId="1" applyNumberFormat="1" applyFont="1" applyFill="1" applyBorder="1" applyAlignment="1">
      <alignment horizontal="center"/>
    </xf>
    <xf numFmtId="178" fontId="9" fillId="7" borderId="15" xfId="1" applyNumberFormat="1" applyFont="1" applyFill="1" applyBorder="1" applyAlignment="1">
      <alignment horizontal="center"/>
    </xf>
    <xf numFmtId="178" fontId="15" fillId="2" borderId="15" xfId="1" applyNumberFormat="1" applyFont="1" applyFill="1" applyBorder="1" applyAlignment="1">
      <alignment horizontal="center"/>
    </xf>
    <xf numFmtId="0" fontId="9" fillId="2" borderId="0" xfId="0" applyFont="1" applyFill="1"/>
    <xf numFmtId="0" fontId="9" fillId="2" borderId="0" xfId="0" applyFont="1" applyFill="1" applyAlignment="1">
      <alignment horizontal="center"/>
    </xf>
    <xf numFmtId="172" fontId="20" fillId="0" borderId="0" xfId="0" applyNumberFormat="1" applyFont="1" applyFill="1" applyBorder="1" applyAlignment="1" applyProtection="1">
      <alignment horizontal="center"/>
    </xf>
    <xf numFmtId="0" fontId="0" fillId="0" borderId="0" xfId="0" applyProtection="1"/>
    <xf numFmtId="0" fontId="3" fillId="0" borderId="0" xfId="0" applyFont="1" applyProtection="1"/>
    <xf numFmtId="0" fontId="4" fillId="0" borderId="0" xfId="0" applyFont="1" applyProtection="1"/>
    <xf numFmtId="0" fontId="8" fillId="3" borderId="20" xfId="0" applyFont="1" applyFill="1" applyBorder="1" applyAlignment="1" applyProtection="1">
      <alignment horizontal="center" vertical="top" wrapText="1"/>
    </xf>
    <xf numFmtId="0" fontId="8" fillId="3" borderId="21" xfId="0" applyFont="1" applyFill="1" applyBorder="1" applyAlignment="1" applyProtection="1">
      <alignment horizontal="center" vertical="top" wrapText="1"/>
    </xf>
    <xf numFmtId="0" fontId="8" fillId="3" borderId="22" xfId="0" applyFont="1" applyFill="1" applyBorder="1" applyAlignment="1" applyProtection="1">
      <alignment horizontal="center" vertical="top" wrapText="1"/>
    </xf>
    <xf numFmtId="0" fontId="16" fillId="0" borderId="0" xfId="0" applyFont="1" applyProtection="1"/>
    <xf numFmtId="0" fontId="18"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3" xfId="0" applyFont="1" applyBorder="1" applyProtection="1"/>
    <xf numFmtId="0" fontId="0" fillId="0" borderId="24" xfId="0" applyBorder="1" applyProtection="1"/>
    <xf numFmtId="0" fontId="0" fillId="0" borderId="26" xfId="0" applyBorder="1" applyProtection="1"/>
    <xf numFmtId="0" fontId="2" fillId="0" borderId="27" xfId="0" applyFont="1" applyBorder="1" applyProtection="1"/>
    <xf numFmtId="0" fontId="16" fillId="0" borderId="0" xfId="0" applyFont="1" applyBorder="1" applyProtection="1"/>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2" fillId="0" borderId="41" xfId="0" applyNumberFormat="1" applyFont="1" applyBorder="1"/>
    <xf numFmtId="167" fontId="22" fillId="0" borderId="42" xfId="0" applyNumberFormat="1" applyFont="1" applyBorder="1"/>
    <xf numFmtId="167" fontId="22" fillId="0" borderId="43" xfId="0" applyNumberFormat="1" applyFont="1" applyBorder="1"/>
    <xf numFmtId="167" fontId="23" fillId="0" borderId="42" xfId="0" applyNumberFormat="1" applyFont="1" applyBorder="1"/>
    <xf numFmtId="167" fontId="7" fillId="2" borderId="30" xfId="0" applyNumberFormat="1" applyFont="1" applyFill="1" applyBorder="1"/>
    <xf numFmtId="167" fontId="7" fillId="2" borderId="31" xfId="0" applyNumberFormat="1" applyFont="1" applyFill="1" applyBorder="1"/>
    <xf numFmtId="167" fontId="22" fillId="8" borderId="41" xfId="0" applyNumberFormat="1" applyFont="1" applyFill="1" applyBorder="1"/>
    <xf numFmtId="167" fontId="22" fillId="8" borderId="42" xfId="0" applyNumberFormat="1" applyFont="1" applyFill="1" applyBorder="1"/>
    <xf numFmtId="167" fontId="22" fillId="8" borderId="43" xfId="0" applyNumberFormat="1" applyFont="1" applyFill="1" applyBorder="1"/>
    <xf numFmtId="166" fontId="9"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24" fillId="0" borderId="0" xfId="0" applyFont="1" applyProtection="1"/>
    <xf numFmtId="0" fontId="10" fillId="0" borderId="0" xfId="0" quotePrefix="1" applyFont="1"/>
    <xf numFmtId="0" fontId="7" fillId="0" borderId="0" xfId="0" applyFont="1" applyBorder="1" applyProtection="1"/>
    <xf numFmtId="0" fontId="10" fillId="0" borderId="3" xfId="0" applyFont="1" applyBorder="1" applyProtection="1"/>
    <xf numFmtId="176" fontId="9" fillId="7" borderId="47" xfId="0" applyNumberFormat="1" applyFont="1" applyFill="1" applyBorder="1" applyAlignment="1">
      <alignment horizontal="center"/>
    </xf>
    <xf numFmtId="176" fontId="9" fillId="7" borderId="48" xfId="0" applyNumberFormat="1" applyFont="1" applyFill="1" applyBorder="1" applyAlignment="1">
      <alignment horizontal="center"/>
    </xf>
    <xf numFmtId="176" fontId="9" fillId="7" borderId="49" xfId="0" applyNumberFormat="1" applyFont="1" applyFill="1" applyBorder="1" applyAlignment="1">
      <alignment horizontal="center"/>
    </xf>
    <xf numFmtId="176" fontId="9" fillId="7" borderId="50" xfId="0" applyNumberFormat="1" applyFont="1" applyFill="1" applyBorder="1" applyAlignment="1">
      <alignment horizontal="center"/>
    </xf>
    <xf numFmtId="177" fontId="9" fillId="7" borderId="12" xfId="1" applyNumberFormat="1" applyFont="1" applyFill="1" applyBorder="1" applyAlignment="1">
      <alignment horizontal="center"/>
    </xf>
    <xf numFmtId="178" fontId="9" fillId="7" borderId="48" xfId="1" applyNumberFormat="1" applyFont="1" applyFill="1" applyBorder="1" applyAlignment="1">
      <alignment horizontal="left"/>
    </xf>
    <xf numFmtId="0" fontId="9" fillId="2" borderId="9" xfId="1" applyNumberFormat="1" applyFont="1" applyFill="1" applyBorder="1" applyAlignment="1">
      <alignment horizontal="center"/>
    </xf>
    <xf numFmtId="0" fontId="9" fillId="2" borderId="12" xfId="1" applyNumberFormat="1" applyFont="1" applyFill="1" applyBorder="1" applyAlignment="1">
      <alignment horizontal="center"/>
    </xf>
    <xf numFmtId="170" fontId="2" fillId="0" borderId="0" xfId="0" applyNumberFormat="1" applyFont="1" applyBorder="1" applyAlignment="1" applyProtection="1">
      <alignment horizontal="center"/>
    </xf>
    <xf numFmtId="0" fontId="9" fillId="2" borderId="57" xfId="0" applyFont="1" applyFill="1" applyBorder="1" applyAlignment="1">
      <alignment horizontal="center"/>
    </xf>
    <xf numFmtId="0" fontId="15" fillId="2" borderId="57" xfId="0" applyFont="1" applyFill="1" applyBorder="1" applyAlignment="1">
      <alignment horizontal="center"/>
    </xf>
    <xf numFmtId="178" fontId="9" fillId="7" borderId="15" xfId="1" applyNumberFormat="1" applyFont="1" applyFill="1" applyBorder="1" applyAlignment="1">
      <alignment horizontal="left"/>
    </xf>
    <xf numFmtId="0" fontId="2" fillId="0" borderId="0" xfId="0" applyFont="1" applyFill="1" applyBorder="1" applyAlignment="1" applyProtection="1"/>
    <xf numFmtId="178" fontId="9" fillId="7" borderId="12" xfId="1" applyNumberFormat="1" applyFont="1" applyFill="1" applyBorder="1" applyAlignment="1">
      <alignment horizontal="center"/>
    </xf>
    <xf numFmtId="178" fontId="15" fillId="2" borderId="12" xfId="1" applyNumberFormat="1" applyFont="1" applyFill="1" applyBorder="1" applyAlignment="1">
      <alignment horizontal="center"/>
    </xf>
    <xf numFmtId="178" fontId="9" fillId="7" borderId="12" xfId="1" applyNumberFormat="1" applyFont="1" applyFill="1" applyBorder="1" applyAlignment="1">
      <alignment horizontal="left"/>
    </xf>
    <xf numFmtId="168" fontId="26" fillId="11" borderId="68" xfId="0" applyNumberFormat="1" applyFont="1" applyFill="1" applyBorder="1" applyAlignment="1" applyProtection="1">
      <alignment vertical="top"/>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29" fillId="0" borderId="0" xfId="0" applyFont="1" applyFill="1" applyBorder="1" applyAlignment="1" applyProtection="1">
      <alignment horizontal="left" vertical="center"/>
    </xf>
    <xf numFmtId="0" fontId="30"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183" fontId="31" fillId="0" borderId="87" xfId="0" applyNumberFormat="1" applyFont="1" applyFill="1" applyBorder="1" applyAlignment="1" applyProtection="1">
      <alignment horizontal="center" vertical="center"/>
    </xf>
    <xf numFmtId="0" fontId="8" fillId="0" borderId="0" xfId="0" applyFont="1" applyAlignment="1" applyProtection="1">
      <alignment horizontal="right"/>
    </xf>
    <xf numFmtId="0" fontId="0" fillId="2" borderId="0" xfId="0" applyFill="1" applyProtection="1"/>
    <xf numFmtId="0" fontId="16" fillId="2" borderId="0" xfId="0" applyFont="1" applyFill="1" applyAlignment="1" applyProtection="1">
      <alignment horizontal="right"/>
    </xf>
    <xf numFmtId="0" fontId="16" fillId="2" borderId="0" xfId="0" applyFont="1" applyFill="1" applyAlignment="1" applyProtection="1">
      <alignment horizontal="left"/>
    </xf>
    <xf numFmtId="0" fontId="0" fillId="2" borderId="0" xfId="0" applyFill="1" applyBorder="1" applyProtection="1"/>
    <xf numFmtId="0" fontId="16" fillId="2" borderId="0" xfId="0" applyFont="1" applyFill="1" applyAlignment="1" applyProtection="1">
      <alignment horizontal="center"/>
    </xf>
    <xf numFmtId="0" fontId="6" fillId="2" borderId="0" xfId="0" applyFont="1" applyFill="1" applyAlignment="1" applyProtection="1">
      <alignment horizontal="left"/>
    </xf>
    <xf numFmtId="0" fontId="4" fillId="2" borderId="0" xfId="0" applyFont="1" applyFill="1" applyProtection="1"/>
    <xf numFmtId="0" fontId="30"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center"/>
    </xf>
    <xf numFmtId="0" fontId="14" fillId="0" borderId="0" xfId="0" applyFont="1" applyFill="1" applyProtection="1"/>
    <xf numFmtId="0" fontId="0" fillId="13" borderId="0" xfId="0" applyFill="1"/>
    <xf numFmtId="0" fontId="25" fillId="13" borderId="0" xfId="0" applyFont="1" applyFill="1"/>
    <xf numFmtId="0" fontId="32" fillId="13" borderId="0" xfId="0" applyFont="1" applyFill="1" applyAlignment="1">
      <alignment horizontal="right"/>
    </xf>
    <xf numFmtId="0" fontId="25" fillId="13" borderId="0" xfId="0" applyFont="1" applyFill="1" applyProtection="1"/>
    <xf numFmtId="2" fontId="36" fillId="14" borderId="83" xfId="0" applyNumberFormat="1" applyFont="1" applyFill="1" applyBorder="1" applyAlignment="1" applyProtection="1">
      <alignment horizontal="center"/>
    </xf>
    <xf numFmtId="171" fontId="36" fillId="14" borderId="84" xfId="0" applyNumberFormat="1" applyFont="1" applyFill="1" applyBorder="1" applyAlignment="1" applyProtection="1">
      <alignment horizontal="center"/>
    </xf>
    <xf numFmtId="180" fontId="36" fillId="14" borderId="80" xfId="0" applyNumberFormat="1" applyFont="1" applyFill="1" applyBorder="1" applyAlignment="1" applyProtection="1">
      <alignment horizontal="right"/>
    </xf>
    <xf numFmtId="179" fontId="36" fillId="12" borderId="83" xfId="0" applyNumberFormat="1" applyFont="1" applyFill="1" applyBorder="1" applyAlignment="1" applyProtection="1">
      <alignment horizontal="right"/>
    </xf>
    <xf numFmtId="2" fontId="36" fillId="12" borderId="85" xfId="0" quotePrefix="1" applyNumberFormat="1" applyFont="1" applyFill="1" applyBorder="1" applyAlignment="1" applyProtection="1">
      <alignment horizontal="left"/>
    </xf>
    <xf numFmtId="180" fontId="36" fillId="12" borderId="95" xfId="0" applyNumberFormat="1" applyFont="1" applyFill="1" applyBorder="1" applyAlignment="1" applyProtection="1">
      <alignment horizontal="right"/>
    </xf>
    <xf numFmtId="168" fontId="25" fillId="11" borderId="0" xfId="0" applyNumberFormat="1" applyFont="1" applyFill="1" applyBorder="1" applyAlignment="1" applyProtection="1">
      <alignment horizontal="right"/>
    </xf>
    <xf numFmtId="188" fontId="2" fillId="0" borderId="0" xfId="0" applyNumberFormat="1" applyFont="1" applyFill="1" applyAlignment="1" applyProtection="1">
      <alignment horizontal="center"/>
    </xf>
    <xf numFmtId="0" fontId="13" fillId="0" borderId="0" xfId="0" applyFont="1" applyProtection="1"/>
    <xf numFmtId="0" fontId="4" fillId="0" borderId="0" xfId="0" applyFont="1"/>
    <xf numFmtId="0" fontId="21" fillId="0" borderId="0" xfId="0" applyFont="1"/>
    <xf numFmtId="0" fontId="2" fillId="0" borderId="36" xfId="0" applyFont="1" applyBorder="1" applyAlignment="1">
      <alignment horizontal="center"/>
    </xf>
    <xf numFmtId="165" fontId="2" fillId="0" borderId="35" xfId="0" applyNumberFormat="1" applyFont="1" applyBorder="1" applyAlignment="1">
      <alignment horizontal="center"/>
    </xf>
    <xf numFmtId="164" fontId="2" fillId="0" borderId="32" xfId="0" applyNumberFormat="1" applyFont="1" applyBorder="1" applyAlignment="1">
      <alignment horizontal="center"/>
    </xf>
    <xf numFmtId="165" fontId="2" fillId="0" borderId="32" xfId="0" applyNumberFormat="1" applyFont="1" applyBorder="1" applyAlignment="1">
      <alignment horizontal="center"/>
    </xf>
    <xf numFmtId="164" fontId="2" fillId="0" borderId="33" xfId="0" applyNumberFormat="1" applyFont="1" applyBorder="1" applyAlignment="1">
      <alignment horizontal="center"/>
    </xf>
    <xf numFmtId="167" fontId="21" fillId="8" borderId="42" xfId="0" applyNumberFormat="1" applyFont="1" applyFill="1" applyBorder="1"/>
    <xf numFmtId="167" fontId="21" fillId="0" borderId="42" xfId="0" applyNumberFormat="1" applyFont="1" applyBorder="1"/>
    <xf numFmtId="0" fontId="1" fillId="0" borderId="0" xfId="0" applyFont="1" applyBorder="1" applyProtection="1"/>
    <xf numFmtId="167" fontId="3" fillId="0" borderId="41" xfId="0" applyNumberFormat="1" applyFont="1" applyBorder="1"/>
    <xf numFmtId="167" fontId="3" fillId="0" borderId="42" xfId="0" applyNumberFormat="1" applyFont="1" applyBorder="1"/>
    <xf numFmtId="167" fontId="3" fillId="0" borderId="43" xfId="0" applyNumberFormat="1" applyFont="1" applyBorder="1"/>
    <xf numFmtId="0" fontId="0" fillId="0" borderId="27" xfId="0" applyBorder="1" applyProtection="1"/>
    <xf numFmtId="0" fontId="0" fillId="0" borderId="99" xfId="0" applyBorder="1" applyProtection="1"/>
    <xf numFmtId="173" fontId="2" fillId="8" borderId="100" xfId="0" applyNumberFormat="1" applyFont="1" applyFill="1" applyBorder="1" applyAlignment="1" applyProtection="1">
      <alignment horizontal="center"/>
    </xf>
    <xf numFmtId="173" fontId="2" fillId="8" borderId="101" xfId="0" applyNumberFormat="1" applyFont="1" applyFill="1" applyBorder="1" applyAlignment="1" applyProtection="1">
      <alignment horizontal="center"/>
    </xf>
    <xf numFmtId="173" fontId="2" fillId="8" borderId="99" xfId="0" applyNumberFormat="1" applyFont="1" applyFill="1" applyBorder="1" applyAlignment="1" applyProtection="1">
      <alignment horizontal="center"/>
    </xf>
    <xf numFmtId="173" fontId="2" fillId="3" borderId="100" xfId="0" applyNumberFormat="1" applyFont="1" applyFill="1" applyBorder="1" applyAlignment="1" applyProtection="1">
      <alignment horizontal="center"/>
    </xf>
    <xf numFmtId="173" fontId="2" fillId="3" borderId="101" xfId="0" applyNumberFormat="1" applyFont="1" applyFill="1" applyBorder="1" applyAlignment="1" applyProtection="1">
      <alignment horizontal="center"/>
    </xf>
    <xf numFmtId="173" fontId="2" fillId="3" borderId="99" xfId="0" applyNumberFormat="1" applyFont="1" applyFill="1" applyBorder="1" applyAlignment="1" applyProtection="1">
      <alignment horizontal="center"/>
    </xf>
    <xf numFmtId="2" fontId="0" fillId="0" borderId="0" xfId="0" applyNumberFormat="1" applyProtection="1"/>
    <xf numFmtId="0" fontId="0" fillId="17" borderId="104" xfId="0" applyFill="1" applyBorder="1" applyProtection="1"/>
    <xf numFmtId="2" fontId="0" fillId="17" borderId="0" xfId="0" applyNumberFormat="1" applyFill="1" applyBorder="1" applyProtection="1"/>
    <xf numFmtId="0" fontId="0" fillId="17" borderId="105" xfId="0" applyFill="1" applyBorder="1" applyProtection="1"/>
    <xf numFmtId="2" fontId="0" fillId="17" borderId="55" xfId="0" applyNumberFormat="1" applyFill="1" applyBorder="1" applyProtection="1"/>
    <xf numFmtId="0" fontId="0" fillId="17" borderId="55" xfId="0" applyFill="1" applyBorder="1" applyProtection="1"/>
    <xf numFmtId="0" fontId="0" fillId="17" borderId="106" xfId="0" applyFill="1" applyBorder="1" applyProtection="1"/>
    <xf numFmtId="0" fontId="0" fillId="0" borderId="105" xfId="0" applyBorder="1" applyProtection="1"/>
    <xf numFmtId="2" fontId="0" fillId="0" borderId="55" xfId="0" applyNumberFormat="1" applyBorder="1" applyProtection="1"/>
    <xf numFmtId="0" fontId="0" fillId="0" borderId="55" xfId="0" applyBorder="1" applyProtection="1"/>
    <xf numFmtId="0" fontId="0" fillId="0" borderId="106" xfId="0" applyBorder="1" applyProtection="1"/>
    <xf numFmtId="2" fontId="0" fillId="0" borderId="106" xfId="0" applyNumberFormat="1" applyBorder="1" applyProtection="1"/>
    <xf numFmtId="2" fontId="0" fillId="17" borderId="106" xfId="0" applyNumberFormat="1" applyFill="1" applyBorder="1" applyProtection="1"/>
    <xf numFmtId="0" fontId="1" fillId="0" borderId="0" xfId="0" applyFont="1" applyProtection="1"/>
    <xf numFmtId="0" fontId="0" fillId="0" borderId="0" xfId="0" applyFont="1" applyFill="1" applyBorder="1" applyProtection="1"/>
    <xf numFmtId="0" fontId="1" fillId="17" borderId="105" xfId="0" applyFont="1" applyFill="1" applyBorder="1" applyProtection="1"/>
    <xf numFmtId="0" fontId="1" fillId="0" borderId="105" xfId="0" applyFont="1" applyBorder="1" applyProtection="1"/>
    <xf numFmtId="0" fontId="1" fillId="0" borderId="0" xfId="0" applyFont="1" applyFill="1" applyBorder="1" applyProtection="1"/>
    <xf numFmtId="0" fontId="0" fillId="0" borderId="105" xfId="0" applyFont="1" applyFill="1" applyBorder="1" applyProtection="1"/>
    <xf numFmtId="0" fontId="38" fillId="0" borderId="27" xfId="0" applyFont="1" applyBorder="1" applyProtection="1"/>
    <xf numFmtId="0" fontId="39" fillId="0" borderId="28" xfId="0" applyFont="1" applyBorder="1" applyProtection="1"/>
    <xf numFmtId="173" fontId="38" fillId="7" borderId="73" xfId="0" applyNumberFormat="1" applyFont="1" applyFill="1" applyBorder="1" applyAlignment="1" applyProtection="1">
      <alignment horizontal="center"/>
    </xf>
    <xf numFmtId="173" fontId="38" fillId="7" borderId="74" xfId="0" applyNumberFormat="1" applyFont="1" applyFill="1" applyBorder="1" applyAlignment="1" applyProtection="1">
      <alignment horizontal="center"/>
    </xf>
    <xf numFmtId="173" fontId="38" fillId="7" borderId="28" xfId="0" applyNumberFormat="1" applyFont="1" applyFill="1" applyBorder="1" applyAlignment="1" applyProtection="1">
      <alignment horizontal="center"/>
    </xf>
    <xf numFmtId="0" fontId="39" fillId="0" borderId="25" xfId="0" applyFont="1" applyBorder="1" applyProtection="1"/>
    <xf numFmtId="0" fontId="39" fillId="0" borderId="26" xfId="0" applyFont="1" applyBorder="1" applyProtection="1"/>
    <xf numFmtId="173" fontId="38" fillId="7" borderId="71" xfId="0" applyNumberFormat="1" applyFont="1" applyFill="1" applyBorder="1" applyAlignment="1" applyProtection="1">
      <alignment horizontal="center"/>
    </xf>
    <xf numFmtId="173" fontId="38" fillId="7" borderId="72" xfId="0" applyNumberFormat="1" applyFont="1" applyFill="1" applyBorder="1" applyAlignment="1" applyProtection="1">
      <alignment horizontal="center"/>
    </xf>
    <xf numFmtId="173" fontId="38" fillId="7" borderId="26" xfId="0" applyNumberFormat="1" applyFont="1" applyFill="1" applyBorder="1" applyAlignment="1" applyProtection="1">
      <alignment horizontal="center"/>
    </xf>
    <xf numFmtId="173" fontId="38" fillId="4" borderId="73" xfId="0" applyNumberFormat="1" applyFont="1" applyFill="1" applyBorder="1" applyAlignment="1" applyProtection="1">
      <alignment horizontal="center"/>
    </xf>
    <xf numFmtId="173" fontId="38" fillId="4" borderId="74" xfId="0" applyNumberFormat="1" applyFont="1" applyFill="1" applyBorder="1" applyAlignment="1" applyProtection="1">
      <alignment horizontal="center"/>
    </xf>
    <xf numFmtId="173" fontId="38" fillId="4" borderId="28" xfId="0" applyNumberFormat="1" applyFont="1" applyFill="1" applyBorder="1" applyAlignment="1" applyProtection="1">
      <alignment horizontal="center"/>
    </xf>
    <xf numFmtId="173" fontId="38" fillId="4" borderId="71" xfId="0" applyNumberFormat="1" applyFont="1" applyFill="1" applyBorder="1" applyAlignment="1" applyProtection="1">
      <alignment horizontal="center"/>
    </xf>
    <xf numFmtId="173" fontId="38" fillId="4" borderId="72" xfId="0" applyNumberFormat="1" applyFont="1" applyFill="1" applyBorder="1" applyAlignment="1" applyProtection="1">
      <alignment horizontal="center"/>
    </xf>
    <xf numFmtId="173" fontId="38" fillId="4" borderId="26" xfId="0" applyNumberFormat="1" applyFont="1" applyFill="1" applyBorder="1" applyAlignment="1" applyProtection="1">
      <alignment horizontal="center"/>
    </xf>
    <xf numFmtId="0" fontId="0" fillId="0" borderId="53" xfId="0" applyBorder="1" applyProtection="1"/>
    <xf numFmtId="0" fontId="4" fillId="22" borderId="0" xfId="0" applyFont="1" applyFill="1" applyProtection="1"/>
    <xf numFmtId="0" fontId="0" fillId="22" borderId="0" xfId="0" applyFill="1"/>
    <xf numFmtId="0" fontId="0" fillId="22" borderId="0" xfId="0" applyFill="1" applyProtection="1"/>
    <xf numFmtId="0" fontId="0" fillId="23" borderId="0" xfId="0" applyFill="1"/>
    <xf numFmtId="0" fontId="0" fillId="23" borderId="0" xfId="0" applyFill="1" applyProtection="1"/>
    <xf numFmtId="0" fontId="4" fillId="24" borderId="0" xfId="0" applyFont="1" applyFill="1" applyProtection="1"/>
    <xf numFmtId="0" fontId="0" fillId="24" borderId="0" xfId="0" applyFill="1"/>
    <xf numFmtId="0" fontId="0" fillId="24" borderId="0" xfId="0" applyFill="1" applyProtection="1"/>
    <xf numFmtId="0" fontId="4" fillId="25" borderId="0" xfId="0" applyFont="1" applyFill="1" applyProtection="1"/>
    <xf numFmtId="0" fontId="0" fillId="25" borderId="0" xfId="0" applyFill="1"/>
    <xf numFmtId="0" fontId="0" fillId="25" borderId="0" xfId="0" applyFill="1" applyProtection="1"/>
    <xf numFmtId="2" fontId="0" fillId="17" borderId="89" xfId="0" applyNumberFormat="1" applyFill="1" applyBorder="1" applyProtection="1"/>
    <xf numFmtId="0" fontId="1" fillId="0" borderId="0" xfId="0" applyFont="1"/>
    <xf numFmtId="2" fontId="0" fillId="2" borderId="0" xfId="0" applyNumberFormat="1" applyFill="1"/>
    <xf numFmtId="190" fontId="0" fillId="2" borderId="0" xfId="1" applyNumberFormat="1" applyFont="1" applyFill="1"/>
    <xf numFmtId="2" fontId="0" fillId="17" borderId="53" xfId="0" applyNumberFormat="1" applyFill="1" applyBorder="1" applyProtection="1"/>
    <xf numFmtId="2" fontId="0" fillId="0" borderId="53" xfId="0" applyNumberFormat="1" applyBorder="1" applyProtection="1"/>
    <xf numFmtId="0" fontId="0" fillId="0" borderId="0" xfId="0" applyFill="1" applyBorder="1" applyProtection="1"/>
    <xf numFmtId="9" fontId="2" fillId="0" borderId="27" xfId="0" applyNumberFormat="1" applyFont="1" applyBorder="1" applyProtection="1"/>
    <xf numFmtId="9" fontId="2" fillId="0" borderId="104" xfId="0" applyNumberFormat="1" applyFont="1" applyBorder="1" applyProtection="1"/>
    <xf numFmtId="190" fontId="0" fillId="0" borderId="99" xfId="1" applyNumberFormat="1" applyFont="1" applyBorder="1" applyProtection="1"/>
    <xf numFmtId="0" fontId="1" fillId="0" borderId="26" xfId="0" applyFont="1" applyBorder="1" applyProtection="1"/>
    <xf numFmtId="0" fontId="8" fillId="0" borderId="0" xfId="0" applyFont="1" applyBorder="1" applyAlignment="1">
      <alignment horizontal="center"/>
    </xf>
    <xf numFmtId="164" fontId="2" fillId="0" borderId="0" xfId="0" applyNumberFormat="1" applyFont="1" applyBorder="1" applyAlignment="1">
      <alignment horizontal="center"/>
    </xf>
    <xf numFmtId="167" fontId="7" fillId="2" borderId="0" xfId="0" applyNumberFormat="1" applyFont="1" applyFill="1" applyBorder="1"/>
    <xf numFmtId="167" fontId="1" fillId="2" borderId="0" xfId="0" applyNumberFormat="1" applyFont="1" applyFill="1" applyBorder="1"/>
    <xf numFmtId="0" fontId="0" fillId="0" borderId="126" xfId="0" applyBorder="1"/>
    <xf numFmtId="0" fontId="0" fillId="0" borderId="127" xfId="0" applyBorder="1"/>
    <xf numFmtId="0" fontId="0" fillId="0" borderId="68" xfId="0" applyBorder="1"/>
    <xf numFmtId="0" fontId="0" fillId="0" borderId="128" xfId="0" applyBorder="1"/>
    <xf numFmtId="0" fontId="0" fillId="0" borderId="129" xfId="0" applyBorder="1"/>
    <xf numFmtId="0" fontId="0" fillId="0" borderId="125" xfId="0" applyBorder="1"/>
    <xf numFmtId="0" fontId="1" fillId="17" borderId="55" xfId="0" applyFont="1" applyFill="1" applyBorder="1" applyProtection="1"/>
    <xf numFmtId="0" fontId="1" fillId="0" borderId="55" xfId="0" applyFont="1" applyBorder="1" applyProtection="1"/>
    <xf numFmtId="0" fontId="7" fillId="0" borderId="126" xfId="0" applyFont="1" applyBorder="1" applyAlignment="1" applyProtection="1">
      <alignment horizontal="center"/>
    </xf>
    <xf numFmtId="0" fontId="7" fillId="0" borderId="130" xfId="0" applyFont="1" applyBorder="1" applyAlignment="1" applyProtection="1">
      <alignment horizontal="center"/>
    </xf>
    <xf numFmtId="0" fontId="7" fillId="0" borderId="131" xfId="0" applyFont="1" applyBorder="1" applyAlignment="1" applyProtection="1">
      <alignment horizontal="center"/>
    </xf>
    <xf numFmtId="2" fontId="0" fillId="17" borderId="54" xfId="0" applyNumberFormat="1" applyFill="1" applyBorder="1" applyProtection="1"/>
    <xf numFmtId="2" fontId="0" fillId="17" borderId="115" xfId="0" applyNumberFormat="1" applyFill="1" applyBorder="1" applyProtection="1"/>
    <xf numFmtId="2" fontId="0" fillId="0" borderId="54" xfId="0" applyNumberFormat="1" applyBorder="1" applyProtection="1"/>
    <xf numFmtId="2" fontId="0" fillId="0" borderId="115" xfId="0" applyNumberFormat="1" applyBorder="1" applyProtection="1"/>
    <xf numFmtId="2" fontId="0" fillId="0" borderId="132" xfId="0" applyNumberFormat="1" applyBorder="1" applyProtection="1"/>
    <xf numFmtId="2" fontId="0" fillId="0" borderId="117" xfId="0" applyNumberFormat="1" applyBorder="1" applyProtection="1"/>
    <xf numFmtId="2" fontId="0" fillId="0" borderId="118" xfId="0" applyNumberFormat="1" applyBorder="1" applyProtection="1"/>
    <xf numFmtId="2" fontId="0" fillId="17" borderId="114" xfId="0" applyNumberFormat="1" applyFill="1" applyBorder="1" applyProtection="1"/>
    <xf numFmtId="2" fontId="0" fillId="0" borderId="114" xfId="0" applyNumberFormat="1" applyBorder="1" applyProtection="1"/>
    <xf numFmtId="2" fontId="0" fillId="0" borderId="116" xfId="0" applyNumberFormat="1" applyBorder="1" applyProtection="1"/>
    <xf numFmtId="0" fontId="7" fillId="0" borderId="111" xfId="0" applyFont="1" applyBorder="1" applyAlignment="1" applyProtection="1">
      <alignment horizontal="center"/>
    </xf>
    <xf numFmtId="0" fontId="7" fillId="0" borderId="112" xfId="0" applyFont="1" applyBorder="1" applyAlignment="1" applyProtection="1">
      <alignment horizontal="center"/>
    </xf>
    <xf numFmtId="0" fontId="7" fillId="0" borderId="113" xfId="0" applyFont="1" applyBorder="1" applyAlignment="1" applyProtection="1">
      <alignment horizontal="center"/>
    </xf>
    <xf numFmtId="0" fontId="1" fillId="0" borderId="133" xfId="0" applyFont="1" applyBorder="1" applyProtection="1"/>
    <xf numFmtId="0" fontId="0" fillId="0" borderId="124" xfId="0" applyBorder="1" applyProtection="1"/>
    <xf numFmtId="0" fontId="0" fillId="0" borderId="124" xfId="0" applyBorder="1"/>
    <xf numFmtId="189" fontId="0" fillId="2" borderId="0" xfId="0" applyNumberFormat="1" applyFill="1"/>
    <xf numFmtId="9" fontId="0" fillId="2" borderId="0" xfId="1" applyFont="1" applyFill="1"/>
    <xf numFmtId="2" fontId="0" fillId="2" borderId="0" xfId="1" applyNumberFormat="1" applyFont="1" applyFill="1"/>
    <xf numFmtId="0" fontId="36" fillId="12" borderId="97" xfId="0" applyNumberFormat="1" applyFont="1" applyFill="1" applyBorder="1" applyAlignment="1" applyProtection="1">
      <alignment horizontal="right"/>
    </xf>
    <xf numFmtId="173" fontId="15" fillId="2" borderId="0" xfId="0" applyNumberFormat="1" applyFont="1" applyFill="1" applyBorder="1" applyAlignment="1">
      <alignment horizontal="center"/>
    </xf>
    <xf numFmtId="189" fontId="2" fillId="8" borderId="71" xfId="0" applyNumberFormat="1" applyFont="1" applyFill="1" applyBorder="1" applyAlignment="1" applyProtection="1">
      <alignment horizontal="center"/>
    </xf>
    <xf numFmtId="189" fontId="2" fillId="8" borderId="72" xfId="0" applyNumberFormat="1" applyFont="1" applyFill="1" applyBorder="1" applyAlignment="1" applyProtection="1">
      <alignment horizontal="center"/>
    </xf>
    <xf numFmtId="189" fontId="2" fillId="8" borderId="26" xfId="0" applyNumberFormat="1" applyFont="1" applyFill="1" applyBorder="1" applyAlignment="1" applyProtection="1">
      <alignment horizontal="center"/>
    </xf>
    <xf numFmtId="189" fontId="2" fillId="8" borderId="123" xfId="0" applyNumberFormat="1" applyFont="1" applyFill="1" applyBorder="1" applyAlignment="1" applyProtection="1">
      <alignment horizontal="center"/>
    </xf>
    <xf numFmtId="189" fontId="2" fillId="8" borderId="21" xfId="0" applyNumberFormat="1" applyFont="1" applyFill="1" applyBorder="1" applyAlignment="1" applyProtection="1">
      <alignment horizontal="center"/>
    </xf>
    <xf numFmtId="189" fontId="2" fillId="8" borderId="22" xfId="0" applyNumberFormat="1" applyFont="1" applyFill="1" applyBorder="1" applyAlignment="1" applyProtection="1">
      <alignment horizontal="center"/>
    </xf>
    <xf numFmtId="176" fontId="0" fillId="2" borderId="0" xfId="0" applyNumberFormat="1" applyFill="1"/>
    <xf numFmtId="0" fontId="1" fillId="2" borderId="0" xfId="0" applyFont="1" applyFill="1" applyProtection="1"/>
    <xf numFmtId="2" fontId="2" fillId="3" borderId="69" xfId="0" applyNumberFormat="1" applyFont="1" applyFill="1" applyBorder="1" applyAlignment="1" applyProtection="1">
      <alignment horizontal="center"/>
    </xf>
    <xf numFmtId="2" fontId="2" fillId="3" borderId="70" xfId="0" applyNumberFormat="1" applyFont="1" applyFill="1" applyBorder="1" applyAlignment="1" applyProtection="1">
      <alignment horizontal="center"/>
    </xf>
    <xf numFmtId="2" fontId="2" fillId="3" borderId="24" xfId="0" applyNumberFormat="1" applyFont="1" applyFill="1" applyBorder="1" applyAlignment="1" applyProtection="1">
      <alignment horizontal="center"/>
    </xf>
    <xf numFmtId="2" fontId="2" fillId="8" borderId="69" xfId="0" applyNumberFormat="1" applyFont="1" applyFill="1" applyBorder="1" applyAlignment="1" applyProtection="1">
      <alignment horizontal="center"/>
    </xf>
    <xf numFmtId="2" fontId="2" fillId="8" borderId="70" xfId="0" applyNumberFormat="1" applyFont="1" applyFill="1" applyBorder="1" applyAlignment="1" applyProtection="1">
      <alignment horizontal="center"/>
    </xf>
    <xf numFmtId="2" fontId="2" fillId="8" borderId="24" xfId="0" applyNumberFormat="1" applyFont="1" applyFill="1" applyBorder="1" applyAlignment="1" applyProtection="1">
      <alignment horizontal="center"/>
    </xf>
    <xf numFmtId="189" fontId="2" fillId="3" borderId="71" xfId="0" applyNumberFormat="1" applyFont="1" applyFill="1" applyBorder="1" applyAlignment="1" applyProtection="1">
      <alignment horizontal="center"/>
    </xf>
    <xf numFmtId="189" fontId="2" fillId="3" borderId="72" xfId="0" applyNumberFormat="1" applyFont="1" applyFill="1" applyBorder="1" applyAlignment="1" applyProtection="1">
      <alignment horizontal="center"/>
    </xf>
    <xf numFmtId="189" fontId="2" fillId="3" borderId="26" xfId="0" applyNumberFormat="1" applyFont="1" applyFill="1" applyBorder="1" applyAlignment="1" applyProtection="1">
      <alignment horizontal="center"/>
    </xf>
    <xf numFmtId="189" fontId="2" fillId="3" borderId="123" xfId="0" applyNumberFormat="1" applyFont="1" applyFill="1" applyBorder="1" applyAlignment="1" applyProtection="1">
      <alignment horizontal="center"/>
    </xf>
    <xf numFmtId="189" fontId="2" fillId="3" borderId="21" xfId="0" applyNumberFormat="1" applyFont="1" applyFill="1" applyBorder="1" applyAlignment="1" applyProtection="1">
      <alignment horizontal="center"/>
    </xf>
    <xf numFmtId="189" fontId="2" fillId="3" borderId="22" xfId="0" applyNumberFormat="1" applyFont="1" applyFill="1" applyBorder="1" applyAlignment="1" applyProtection="1">
      <alignment horizontal="center"/>
    </xf>
    <xf numFmtId="189" fontId="0" fillId="0" borderId="0" xfId="0" applyNumberFormat="1"/>
    <xf numFmtId="189" fontId="0" fillId="0" borderId="134" xfId="0" applyNumberFormat="1" applyBorder="1"/>
    <xf numFmtId="0" fontId="0" fillId="0" borderId="0" xfId="0"/>
    <xf numFmtId="0" fontId="18" fillId="0" borderId="0" xfId="0" applyFont="1"/>
    <xf numFmtId="166" fontId="8" fillId="0" borderId="0" xfId="0" applyNumberFormat="1" applyFont="1" applyAlignment="1">
      <alignment horizontal="right"/>
    </xf>
    <xf numFmtId="166" fontId="9" fillId="0" borderId="0" xfId="0" applyNumberFormat="1" applyFont="1" applyAlignment="1">
      <alignment horizontal="right" indent="1"/>
    </xf>
    <xf numFmtId="0" fontId="16" fillId="0" borderId="0" xfId="0" applyFont="1"/>
    <xf numFmtId="3" fontId="7" fillId="0" borderId="0" xfId="0" applyNumberFormat="1" applyFont="1" applyAlignment="1">
      <alignment horizontal="right" indent="1"/>
    </xf>
    <xf numFmtId="0" fontId="24" fillId="0" borderId="0" xfId="0" applyFont="1"/>
    <xf numFmtId="0" fontId="42" fillId="0" borderId="0" xfId="0" applyFont="1" applyAlignment="1">
      <alignment vertical="center"/>
    </xf>
    <xf numFmtId="0" fontId="41" fillId="0" borderId="0" xfId="0" applyFont="1" applyAlignment="1">
      <alignment vertical="center"/>
    </xf>
    <xf numFmtId="0" fontId="1" fillId="0" borderId="0" xfId="0" applyFont="1" applyAlignment="1">
      <alignment vertical="center"/>
    </xf>
    <xf numFmtId="0" fontId="43" fillId="18" borderId="107" xfId="0" applyFont="1" applyFill="1" applyBorder="1" applyAlignment="1">
      <alignment vertical="center" wrapText="1"/>
    </xf>
    <xf numFmtId="0" fontId="43" fillId="18" borderId="108" xfId="0" applyFont="1" applyFill="1" applyBorder="1" applyAlignment="1">
      <alignment vertical="center" wrapText="1"/>
    </xf>
    <xf numFmtId="0" fontId="43" fillId="18" borderId="108" xfId="0" applyFont="1" applyFill="1" applyBorder="1" applyAlignment="1">
      <alignment horizontal="right" vertical="center"/>
    </xf>
    <xf numFmtId="0" fontId="43" fillId="18" borderId="102" xfId="0" applyFont="1" applyFill="1" applyBorder="1" applyAlignment="1">
      <alignment horizontal="right" vertical="center"/>
    </xf>
    <xf numFmtId="0" fontId="41" fillId="16" borderId="107" xfId="0" applyFont="1" applyFill="1" applyBorder="1" applyAlignment="1">
      <alignment vertical="center"/>
    </xf>
    <xf numFmtId="2" fontId="41" fillId="16" borderId="108" xfId="0" applyNumberFormat="1" applyFont="1" applyFill="1" applyBorder="1" applyAlignment="1">
      <alignment vertical="center"/>
    </xf>
    <xf numFmtId="2" fontId="41" fillId="16" borderId="102" xfId="0" applyNumberFormat="1" applyFont="1" applyFill="1" applyBorder="1" applyAlignment="1">
      <alignment vertical="center"/>
    </xf>
    <xf numFmtId="0" fontId="41" fillId="0" borderId="107" xfId="0" applyFont="1" applyBorder="1" applyAlignment="1">
      <alignment vertical="center"/>
    </xf>
    <xf numFmtId="2" fontId="41" fillId="0" borderId="108" xfId="0" applyNumberFormat="1" applyFont="1" applyBorder="1" applyAlignment="1">
      <alignment vertical="center"/>
    </xf>
    <xf numFmtId="2" fontId="41" fillId="0" borderId="102" xfId="0" applyNumberFormat="1" applyFont="1" applyBorder="1" applyAlignment="1">
      <alignment vertical="center"/>
    </xf>
    <xf numFmtId="0" fontId="1" fillId="16" borderId="107" xfId="0" applyFont="1" applyFill="1" applyBorder="1" applyAlignment="1">
      <alignment vertical="center"/>
    </xf>
    <xf numFmtId="0" fontId="1" fillId="16" borderId="102" xfId="0" applyFont="1" applyFill="1" applyBorder="1" applyAlignment="1">
      <alignment vertical="center"/>
    </xf>
    <xf numFmtId="189" fontId="1" fillId="16" borderId="102" xfId="0" applyNumberFormat="1" applyFont="1" applyFill="1" applyBorder="1" applyAlignment="1">
      <alignment vertical="center"/>
    </xf>
    <xf numFmtId="0" fontId="1" fillId="0" borderId="107" xfId="0" applyFont="1" applyBorder="1" applyAlignment="1">
      <alignment vertical="center"/>
    </xf>
    <xf numFmtId="0" fontId="1" fillId="0" borderId="102" xfId="0" applyFont="1" applyBorder="1" applyAlignment="1">
      <alignment vertical="center"/>
    </xf>
    <xf numFmtId="189" fontId="1" fillId="0" borderId="102" xfId="0" applyNumberFormat="1" applyFont="1" applyBorder="1" applyAlignment="1">
      <alignment vertical="center"/>
    </xf>
    <xf numFmtId="2" fontId="1" fillId="16" borderId="102" xfId="0" applyNumberFormat="1" applyFont="1" applyFill="1" applyBorder="1" applyAlignment="1">
      <alignment vertical="center"/>
    </xf>
    <xf numFmtId="2" fontId="1" fillId="0" borderId="102" xfId="0" applyNumberFormat="1" applyFont="1" applyBorder="1" applyAlignment="1">
      <alignment vertical="center"/>
    </xf>
    <xf numFmtId="0" fontId="1" fillId="0" borderId="109" xfId="0" applyFont="1" applyBorder="1" applyAlignment="1">
      <alignment vertical="center"/>
    </xf>
    <xf numFmtId="189" fontId="1" fillId="0" borderId="103" xfId="0" applyNumberFormat="1" applyFont="1" applyBorder="1" applyAlignment="1">
      <alignment vertical="center"/>
    </xf>
    <xf numFmtId="2" fontId="1" fillId="0" borderId="103" xfId="0" applyNumberFormat="1" applyFont="1" applyBorder="1" applyAlignment="1">
      <alignment vertical="center"/>
    </xf>
    <xf numFmtId="0" fontId="41" fillId="16" borderId="109" xfId="0" applyFont="1" applyFill="1" applyBorder="1" applyAlignment="1">
      <alignment vertical="center"/>
    </xf>
    <xf numFmtId="2" fontId="41" fillId="16" borderId="110" xfId="0" applyNumberFormat="1" applyFont="1" applyFill="1" applyBorder="1" applyAlignment="1">
      <alignment vertical="center"/>
    </xf>
    <xf numFmtId="2" fontId="41" fillId="16" borderId="103" xfId="0" applyNumberFormat="1" applyFont="1" applyFill="1" applyBorder="1" applyAlignment="1">
      <alignment vertical="center"/>
    </xf>
    <xf numFmtId="0" fontId="41" fillId="0" borderId="111" xfId="0" applyFont="1" applyBorder="1" applyAlignment="1">
      <alignment vertical="center"/>
    </xf>
    <xf numFmtId="0" fontId="1" fillId="0" borderId="112" xfId="0" applyFont="1" applyBorder="1" applyAlignment="1">
      <alignment vertical="center"/>
    </xf>
    <xf numFmtId="2" fontId="1" fillId="0" borderId="113" xfId="0" applyNumberFormat="1" applyFont="1" applyBorder="1" applyAlignment="1">
      <alignment vertical="center"/>
    </xf>
    <xf numFmtId="0" fontId="41" fillId="0" borderId="114" xfId="0" applyFont="1" applyBorder="1" applyAlignment="1">
      <alignment vertical="center"/>
    </xf>
    <xf numFmtId="0" fontId="1" fillId="0" borderId="53" xfId="0" applyFont="1" applyBorder="1" applyAlignment="1">
      <alignment vertical="center"/>
    </xf>
    <xf numFmtId="2" fontId="1" fillId="0" borderId="115" xfId="0" applyNumberFormat="1" applyFont="1" applyBorder="1" applyAlignment="1">
      <alignment vertical="center"/>
    </xf>
    <xf numFmtId="0" fontId="41" fillId="0" borderId="116" xfId="0" applyFont="1" applyBorder="1" applyAlignment="1">
      <alignment vertical="center"/>
    </xf>
    <xf numFmtId="0" fontId="1" fillId="0" borderId="117" xfId="0" applyFont="1" applyBorder="1" applyAlignment="1">
      <alignment vertical="center"/>
    </xf>
    <xf numFmtId="2" fontId="1" fillId="0" borderId="118" xfId="0" applyNumberFormat="1" applyFont="1" applyBorder="1" applyAlignment="1">
      <alignment vertical="center"/>
    </xf>
    <xf numFmtId="2" fontId="1" fillId="16" borderId="53" xfId="0" applyNumberFormat="1" applyFont="1" applyFill="1" applyBorder="1" applyAlignment="1">
      <alignment vertical="center"/>
    </xf>
    <xf numFmtId="2" fontId="1" fillId="0" borderId="0" xfId="0" applyNumberFormat="1" applyFont="1" applyAlignment="1">
      <alignment vertical="center"/>
    </xf>
    <xf numFmtId="2" fontId="1" fillId="16" borderId="120" xfId="0" applyNumberFormat="1" applyFont="1" applyFill="1" applyBorder="1" applyAlignment="1">
      <alignment vertical="center"/>
    </xf>
    <xf numFmtId="0" fontId="43" fillId="18" borderId="107" xfId="0" applyFont="1" applyFill="1" applyBorder="1" applyAlignment="1">
      <alignment vertical="center"/>
    </xf>
    <xf numFmtId="0" fontId="43" fillId="18" borderId="108" xfId="0" applyFont="1" applyFill="1" applyBorder="1" applyAlignment="1">
      <alignment vertical="center"/>
    </xf>
    <xf numFmtId="0" fontId="43" fillId="18" borderId="102" xfId="0" applyFont="1" applyFill="1" applyBorder="1" applyAlignment="1">
      <alignment vertical="center"/>
    </xf>
    <xf numFmtId="0" fontId="41" fillId="16" borderId="108" xfId="0" applyFont="1" applyFill="1" applyBorder="1" applyAlignment="1">
      <alignment vertical="center"/>
    </xf>
    <xf numFmtId="0" fontId="41" fillId="0" borderId="108" xfId="0" applyFont="1" applyBorder="1" applyAlignment="1">
      <alignment vertical="center"/>
    </xf>
    <xf numFmtId="0" fontId="1" fillId="16" borderId="109" xfId="0" applyFont="1" applyFill="1" applyBorder="1" applyAlignment="1">
      <alignment vertical="center"/>
    </xf>
    <xf numFmtId="2" fontId="1" fillId="16" borderId="103" xfId="0" applyNumberFormat="1" applyFont="1" applyFill="1" applyBorder="1" applyAlignment="1">
      <alignment vertical="center"/>
    </xf>
    <xf numFmtId="0" fontId="41" fillId="16" borderId="110" xfId="0" applyFont="1" applyFill="1" applyBorder="1" applyAlignment="1">
      <alignment vertical="center"/>
    </xf>
    <xf numFmtId="2" fontId="1" fillId="16" borderId="109" xfId="0" applyNumberFormat="1" applyFont="1" applyFill="1" applyBorder="1" applyAlignment="1">
      <alignment vertical="center"/>
    </xf>
    <xf numFmtId="2" fontId="1" fillId="16" borderId="110" xfId="0" applyNumberFormat="1" applyFont="1" applyFill="1" applyBorder="1" applyAlignment="1">
      <alignment vertical="center"/>
    </xf>
    <xf numFmtId="0" fontId="41" fillId="22" borderId="0" xfId="5" applyFont="1" applyFill="1" applyAlignment="1">
      <alignment vertical="center"/>
    </xf>
    <xf numFmtId="0" fontId="41" fillId="23" borderId="0" xfId="5" applyFont="1" applyFill="1" applyAlignment="1">
      <alignment vertical="center"/>
    </xf>
    <xf numFmtId="0" fontId="43" fillId="18" borderId="53" xfId="0" applyFont="1" applyFill="1" applyBorder="1" applyAlignment="1">
      <alignment vertical="center"/>
    </xf>
    <xf numFmtId="0" fontId="43" fillId="18" borderId="119" xfId="0" applyFont="1" applyFill="1" applyBorder="1" applyAlignment="1">
      <alignment horizontal="right" vertical="center"/>
    </xf>
    <xf numFmtId="0" fontId="41" fillId="24" borderId="0" xfId="5" applyFont="1" applyFill="1" applyAlignment="1">
      <alignment vertical="center"/>
    </xf>
    <xf numFmtId="0" fontId="41" fillId="25" borderId="0" xfId="5" applyFont="1" applyFill="1" applyAlignment="1">
      <alignment vertical="center"/>
    </xf>
    <xf numFmtId="0" fontId="44" fillId="20" borderId="121" xfId="0" applyFont="1" applyFill="1" applyBorder="1" applyAlignment="1">
      <alignment horizontal="right" vertical="center" wrapText="1"/>
    </xf>
    <xf numFmtId="2" fontId="45" fillId="21" borderId="122" xfId="0" applyNumberFormat="1" applyFont="1" applyFill="1" applyBorder="1" applyAlignment="1">
      <alignment vertical="center" wrapText="1"/>
    </xf>
    <xf numFmtId="0" fontId="41" fillId="16" borderId="0" xfId="0" applyFont="1" applyFill="1" applyAlignment="1">
      <alignment vertical="center"/>
    </xf>
    <xf numFmtId="2" fontId="41" fillId="16" borderId="0" xfId="0" applyNumberFormat="1" applyFont="1" applyFill="1" applyAlignment="1">
      <alignment vertical="center"/>
    </xf>
    <xf numFmtId="0" fontId="1" fillId="0" borderId="113" xfId="0" applyFont="1" applyBorder="1" applyAlignment="1">
      <alignment vertical="center"/>
    </xf>
    <xf numFmtId="0" fontId="1" fillId="0" borderId="115" xfId="0" applyFont="1" applyBorder="1" applyAlignment="1">
      <alignment vertical="center"/>
    </xf>
    <xf numFmtId="0" fontId="1" fillId="0" borderId="118" xfId="0" applyFont="1" applyBorder="1" applyAlignment="1">
      <alignment vertical="center"/>
    </xf>
    <xf numFmtId="2" fontId="1" fillId="0" borderId="0" xfId="0" applyNumberFormat="1" applyFont="1"/>
    <xf numFmtId="2" fontId="1" fillId="0" borderId="0" xfId="1" applyNumberFormat="1" applyFont="1"/>
    <xf numFmtId="9" fontId="1" fillId="0" borderId="0" xfId="0" applyNumberFormat="1" applyFont="1"/>
    <xf numFmtId="0" fontId="1" fillId="0" borderId="0" xfId="0" applyFont="1" applyAlignment="1">
      <alignment wrapText="1"/>
    </xf>
    <xf numFmtId="173" fontId="1" fillId="0" borderId="0" xfId="0" applyNumberFormat="1" applyFont="1"/>
    <xf numFmtId="9" fontId="1" fillId="0" borderId="0" xfId="1" applyFont="1"/>
    <xf numFmtId="9" fontId="1" fillId="0" borderId="0" xfId="0" applyNumberFormat="1" applyFont="1" applyAlignment="1">
      <alignment vertical="center"/>
    </xf>
    <xf numFmtId="0" fontId="46" fillId="15" borderId="0" xfId="5" applyFont="1" applyAlignment="1">
      <alignment vertical="center"/>
    </xf>
    <xf numFmtId="0" fontId="46" fillId="19" borderId="0" xfId="5" applyFont="1" applyFill="1" applyAlignment="1">
      <alignment vertical="center"/>
    </xf>
    <xf numFmtId="0" fontId="42" fillId="0" borderId="0" xfId="0" applyFont="1"/>
    <xf numFmtId="0" fontId="41" fillId="0" borderId="0" xfId="0" applyFont="1"/>
    <xf numFmtId="0" fontId="43" fillId="18" borderId="107" xfId="0" applyFont="1" applyFill="1" applyBorder="1" applyAlignment="1">
      <alignment wrapText="1"/>
    </xf>
    <xf numFmtId="0" fontId="43" fillId="18" borderId="108" xfId="0" applyFont="1" applyFill="1" applyBorder="1" applyAlignment="1">
      <alignment wrapText="1"/>
    </xf>
    <xf numFmtId="0" fontId="43" fillId="18" borderId="108" xfId="0" applyFont="1" applyFill="1" applyBorder="1" applyAlignment="1">
      <alignment horizontal="right"/>
    </xf>
    <xf numFmtId="0" fontId="43" fillId="18" borderId="102" xfId="0" applyFont="1" applyFill="1" applyBorder="1" applyAlignment="1">
      <alignment horizontal="right"/>
    </xf>
    <xf numFmtId="0" fontId="41" fillId="16" borderId="107" xfId="0" applyFont="1" applyFill="1" applyBorder="1"/>
    <xf numFmtId="2" fontId="41" fillId="16" borderId="108" xfId="0" applyNumberFormat="1" applyFont="1" applyFill="1" applyBorder="1"/>
    <xf numFmtId="2" fontId="41" fillId="16" borderId="102" xfId="0" applyNumberFormat="1" applyFont="1" applyFill="1" applyBorder="1"/>
    <xf numFmtId="0" fontId="41" fillId="0" borderId="107" xfId="0" applyFont="1" applyBorder="1"/>
    <xf numFmtId="2" fontId="41" fillId="0" borderId="108" xfId="0" applyNumberFormat="1" applyFont="1" applyBorder="1"/>
    <xf numFmtId="2" fontId="41" fillId="0" borderId="102" xfId="0" applyNumberFormat="1" applyFont="1" applyBorder="1"/>
    <xf numFmtId="0" fontId="1" fillId="16" borderId="107" xfId="0" applyFont="1" applyFill="1" applyBorder="1"/>
    <xf numFmtId="0" fontId="1" fillId="16" borderId="102" xfId="0" applyFont="1" applyFill="1" applyBorder="1"/>
    <xf numFmtId="189" fontId="1" fillId="16" borderId="102" xfId="0" applyNumberFormat="1" applyFont="1" applyFill="1" applyBorder="1"/>
    <xf numFmtId="0" fontId="1" fillId="0" borderId="107" xfId="0" applyFont="1" applyBorder="1"/>
    <xf numFmtId="0" fontId="1" fillId="0" borderId="102" xfId="0" applyFont="1" applyBorder="1"/>
    <xf numFmtId="189" fontId="1" fillId="0" borderId="102" xfId="0" applyNumberFormat="1" applyFont="1" applyBorder="1"/>
    <xf numFmtId="2" fontId="1" fillId="0" borderId="102" xfId="0" applyNumberFormat="1" applyFont="1" applyBorder="1"/>
    <xf numFmtId="0" fontId="1" fillId="0" borderId="109" xfId="0" applyFont="1" applyBorder="1"/>
    <xf numFmtId="189" fontId="1" fillId="0" borderId="103" xfId="0" applyNumberFormat="1" applyFont="1" applyBorder="1"/>
    <xf numFmtId="2" fontId="1" fillId="16" borderId="102" xfId="0" applyNumberFormat="1" applyFont="1" applyFill="1" applyBorder="1"/>
    <xf numFmtId="2" fontId="1" fillId="0" borderId="103" xfId="0" applyNumberFormat="1" applyFont="1" applyBorder="1"/>
    <xf numFmtId="0" fontId="41" fillId="16" borderId="109" xfId="0" applyFont="1" applyFill="1" applyBorder="1"/>
    <xf numFmtId="2" fontId="41" fillId="16" borderId="110" xfId="0" applyNumberFormat="1" applyFont="1" applyFill="1" applyBorder="1"/>
    <xf numFmtId="2" fontId="41" fillId="16" borderId="103" xfId="0" applyNumberFormat="1" applyFont="1" applyFill="1" applyBorder="1"/>
    <xf numFmtId="2" fontId="1" fillId="16" borderId="53" xfId="0" applyNumberFormat="1" applyFont="1" applyFill="1" applyBorder="1"/>
    <xf numFmtId="2" fontId="1" fillId="16" borderId="120" xfId="0" applyNumberFormat="1" applyFont="1" applyFill="1" applyBorder="1"/>
    <xf numFmtId="0" fontId="41" fillId="16" borderId="0" xfId="0" applyFont="1" applyFill="1"/>
    <xf numFmtId="2" fontId="41" fillId="16" borderId="0" xfId="0" applyNumberFormat="1" applyFont="1" applyFill="1"/>
    <xf numFmtId="0" fontId="43" fillId="18" borderId="108" xfId="0" applyFont="1" applyFill="1" applyBorder="1"/>
    <xf numFmtId="0" fontId="43" fillId="18" borderId="102" xfId="0" applyFont="1" applyFill="1" applyBorder="1"/>
    <xf numFmtId="0" fontId="41" fillId="16" borderId="108" xfId="0" applyFont="1" applyFill="1" applyBorder="1"/>
    <xf numFmtId="0" fontId="41" fillId="0" borderId="108" xfId="0" applyFont="1" applyBorder="1"/>
    <xf numFmtId="0" fontId="1" fillId="16" borderId="109" xfId="0" applyFont="1" applyFill="1" applyBorder="1"/>
    <xf numFmtId="2" fontId="1" fillId="16" borderId="103" xfId="0" applyNumberFormat="1" applyFont="1" applyFill="1" applyBorder="1"/>
    <xf numFmtId="0" fontId="41" fillId="16" borderId="110" xfId="0" applyFont="1" applyFill="1" applyBorder="1"/>
    <xf numFmtId="2" fontId="1" fillId="16" borderId="109" xfId="0" applyNumberFormat="1" applyFont="1" applyFill="1" applyBorder="1"/>
    <xf numFmtId="2" fontId="1" fillId="16" borderId="110" xfId="0" applyNumberFormat="1" applyFont="1" applyFill="1" applyBorder="1"/>
    <xf numFmtId="0" fontId="1" fillId="16" borderId="103" xfId="0" applyFont="1" applyFill="1" applyBorder="1"/>
    <xf numFmtId="0" fontId="43" fillId="18" borderId="107" xfId="0" applyFont="1" applyFill="1" applyBorder="1"/>
    <xf numFmtId="0" fontId="43" fillId="18" borderId="53" xfId="0" applyFont="1" applyFill="1" applyBorder="1"/>
    <xf numFmtId="0" fontId="43" fillId="18" borderId="119" xfId="0" applyFont="1" applyFill="1" applyBorder="1" applyAlignment="1">
      <alignment horizontal="right"/>
    </xf>
    <xf numFmtId="0" fontId="43" fillId="18" borderId="102" xfId="0" applyFont="1" applyFill="1" applyBorder="1" applyAlignment="1">
      <alignment horizontal="right" vertical="top"/>
    </xf>
    <xf numFmtId="0" fontId="42" fillId="0" borderId="0" xfId="0" applyFont="1" applyAlignment="1">
      <alignment vertical="center"/>
    </xf>
    <xf numFmtId="0" fontId="8" fillId="0" borderId="0" xfId="0" applyFont="1" applyAlignment="1" applyProtection="1">
      <alignment horizontal="right" wrapText="1"/>
    </xf>
    <xf numFmtId="0" fontId="49" fillId="2" borderId="0" xfId="0" applyFont="1" applyFill="1"/>
    <xf numFmtId="0" fontId="49" fillId="2" borderId="0" xfId="0" applyFont="1" applyFill="1" applyBorder="1"/>
    <xf numFmtId="0" fontId="50" fillId="2" borderId="0" xfId="0" applyFont="1" applyFill="1" applyBorder="1" applyAlignment="1">
      <alignment horizontal="right"/>
    </xf>
    <xf numFmtId="0" fontId="51" fillId="2" borderId="0" xfId="0" applyFont="1" applyFill="1" applyAlignment="1">
      <alignment horizontal="right"/>
    </xf>
    <xf numFmtId="9" fontId="52" fillId="2" borderId="0" xfId="1" applyFont="1" applyFill="1" applyAlignment="1">
      <alignment horizontal="left"/>
    </xf>
    <xf numFmtId="0" fontId="53" fillId="2" borderId="0" xfId="0" applyFont="1" applyFill="1" applyAlignment="1">
      <alignment horizontal="left"/>
    </xf>
    <xf numFmtId="0" fontId="50" fillId="2" borderId="0" xfId="0" applyFont="1" applyFill="1" applyBorder="1" applyAlignment="1">
      <alignment horizontal="left"/>
    </xf>
    <xf numFmtId="0" fontId="49" fillId="0" borderId="0" xfId="0" applyFont="1"/>
    <xf numFmtId="0" fontId="57" fillId="2" borderId="0" xfId="0" applyFont="1" applyFill="1" applyAlignment="1">
      <alignment horizontal="left"/>
    </xf>
    <xf numFmtId="0" fontId="58" fillId="13" borderId="0" xfId="0" applyFont="1" applyFill="1"/>
    <xf numFmtId="0" fontId="58" fillId="13" borderId="0" xfId="0" applyFont="1" applyFill="1" applyProtection="1"/>
    <xf numFmtId="0" fontId="59" fillId="2" borderId="2" xfId="0" applyFont="1" applyFill="1" applyBorder="1" applyAlignment="1">
      <alignment horizontal="center"/>
    </xf>
    <xf numFmtId="0" fontId="60" fillId="2" borderId="0" xfId="0" applyFont="1" applyFill="1"/>
    <xf numFmtId="0" fontId="51" fillId="2" borderId="17" xfId="0" applyFont="1" applyFill="1" applyBorder="1" applyAlignment="1">
      <alignment horizontal="center"/>
    </xf>
    <xf numFmtId="174" fontId="52" fillId="2" borderId="0" xfId="0" applyNumberFormat="1" applyFont="1" applyFill="1"/>
    <xf numFmtId="0" fontId="53" fillId="2" borderId="0" xfId="0" applyFont="1" applyFill="1" applyAlignment="1">
      <alignment horizontal="right"/>
    </xf>
    <xf numFmtId="184" fontId="61" fillId="4" borderId="0" xfId="0" applyNumberFormat="1" applyFont="1" applyFill="1" applyAlignment="1">
      <alignment horizontal="right"/>
    </xf>
    <xf numFmtId="192" fontId="61" fillId="3" borderId="0" xfId="0" applyNumberFormat="1" applyFont="1" applyFill="1" applyAlignment="1"/>
    <xf numFmtId="184" fontId="61" fillId="4" borderId="0" xfId="0" applyNumberFormat="1" applyFont="1" applyFill="1" applyAlignment="1"/>
    <xf numFmtId="184" fontId="61" fillId="3" borderId="0" xfId="0" applyNumberFormat="1" applyFont="1" applyFill="1" applyAlignment="1"/>
    <xf numFmtId="0" fontId="62" fillId="3" borderId="0" xfId="0" applyFont="1" applyFill="1" applyAlignment="1">
      <alignment horizontal="center"/>
    </xf>
    <xf numFmtId="174" fontId="52" fillId="7" borderId="0" xfId="0" applyNumberFormat="1" applyFont="1" applyFill="1"/>
    <xf numFmtId="0" fontId="63" fillId="2" borderId="0" xfId="0" applyFont="1" applyFill="1" applyAlignment="1">
      <alignment horizontal="left"/>
    </xf>
    <xf numFmtId="167" fontId="61" fillId="7" borderId="0" xfId="0" applyNumberFormat="1" applyFont="1" applyFill="1" applyAlignment="1">
      <alignment horizontal="right"/>
    </xf>
    <xf numFmtId="167" fontId="61" fillId="8" borderId="0" xfId="0" quotePrefix="1" applyNumberFormat="1" applyFont="1" applyFill="1" applyAlignment="1">
      <alignment horizontal="center"/>
    </xf>
    <xf numFmtId="0" fontId="64" fillId="2" borderId="0" xfId="0" applyFont="1" applyFill="1" applyAlignment="1">
      <alignment horizontal="left"/>
    </xf>
    <xf numFmtId="0" fontId="60" fillId="2" borderId="0" xfId="0" quotePrefix="1" applyFont="1" applyFill="1"/>
    <xf numFmtId="170" fontId="61" fillId="4" borderId="0" xfId="0" applyNumberFormat="1" applyFont="1" applyFill="1" applyAlignment="1">
      <alignment horizontal="right"/>
    </xf>
    <xf numFmtId="170" fontId="61" fillId="3" borderId="0" xfId="0" applyNumberFormat="1" applyFont="1" applyFill="1" applyAlignment="1"/>
    <xf numFmtId="170" fontId="61" fillId="4" borderId="0" xfId="0" applyNumberFormat="1" applyFont="1" applyFill="1" applyAlignment="1"/>
    <xf numFmtId="0" fontId="53" fillId="2" borderId="0" xfId="0" applyFont="1" applyFill="1" applyAlignment="1">
      <alignment horizontal="center"/>
    </xf>
    <xf numFmtId="9" fontId="52" fillId="7" borderId="0" xfId="1" applyFont="1" applyFill="1" applyAlignment="1">
      <alignment horizontal="right"/>
    </xf>
    <xf numFmtId="0" fontId="65" fillId="3" borderId="0" xfId="0" applyFont="1" applyFill="1" applyAlignment="1">
      <alignment horizontal="right"/>
    </xf>
    <xf numFmtId="0" fontId="60" fillId="2" borderId="0" xfId="0" applyFont="1" applyFill="1" applyAlignment="1">
      <alignment horizontal="right"/>
    </xf>
    <xf numFmtId="170" fontId="61" fillId="7" borderId="0" xfId="0" applyNumberFormat="1" applyFont="1" applyFill="1" applyAlignment="1">
      <alignment horizontal="right"/>
    </xf>
    <xf numFmtId="170" fontId="61" fillId="8" borderId="0" xfId="0" quotePrefix="1" applyNumberFormat="1" applyFont="1" applyFill="1" applyAlignment="1"/>
    <xf numFmtId="170" fontId="59" fillId="2" borderId="0" xfId="0" applyNumberFormat="1" applyFont="1" applyFill="1"/>
    <xf numFmtId="0" fontId="66" fillId="3" borderId="0" xfId="0" applyFont="1" applyFill="1" applyAlignment="1">
      <alignment horizontal="center"/>
    </xf>
    <xf numFmtId="0" fontId="67" fillId="2" borderId="0" xfId="0" applyFont="1" applyFill="1"/>
    <xf numFmtId="166" fontId="52" fillId="4" borderId="18" xfId="0" applyNumberFormat="1" applyFont="1" applyFill="1" applyBorder="1" applyAlignment="1">
      <alignment horizontal="center"/>
    </xf>
    <xf numFmtId="0" fontId="53" fillId="2" borderId="0" xfId="0" applyFont="1" applyFill="1"/>
    <xf numFmtId="185" fontId="52" fillId="4" borderId="0" xfId="0" applyNumberFormat="1" applyFont="1" applyFill="1"/>
    <xf numFmtId="0" fontId="52" fillId="3" borderId="0" xfId="0" applyFont="1" applyFill="1"/>
    <xf numFmtId="9" fontId="49" fillId="2" borderId="0" xfId="1" applyFont="1" applyFill="1"/>
    <xf numFmtId="0" fontId="66" fillId="3" borderId="0" xfId="0" applyFont="1" applyFill="1"/>
    <xf numFmtId="0" fontId="49" fillId="2" borderId="0" xfId="0" applyNumberFormat="1" applyFont="1" applyFill="1"/>
    <xf numFmtId="0" fontId="54" fillId="2" borderId="0" xfId="0" applyFont="1" applyFill="1"/>
    <xf numFmtId="0" fontId="48" fillId="2" borderId="0" xfId="0" applyFont="1" applyFill="1"/>
    <xf numFmtId="185" fontId="62" fillId="3" borderId="0" xfId="0" applyNumberFormat="1" applyFont="1" applyFill="1" applyAlignment="1">
      <alignment horizontal="center"/>
    </xf>
    <xf numFmtId="0" fontId="62" fillId="4" borderId="0" xfId="0" applyFont="1" applyFill="1" applyAlignment="1">
      <alignment horizontal="center"/>
    </xf>
    <xf numFmtId="0" fontId="66" fillId="4" borderId="0" xfId="0" applyFont="1" applyFill="1"/>
    <xf numFmtId="0" fontId="68" fillId="2" borderId="0" xfId="0" applyFont="1" applyFill="1" applyAlignment="1">
      <alignment horizontal="left" indent="1"/>
    </xf>
    <xf numFmtId="0" fontId="64" fillId="2" borderId="0" xfId="0" applyFont="1" applyFill="1" applyAlignment="1">
      <alignment horizontal="right"/>
    </xf>
    <xf numFmtId="0" fontId="70" fillId="2" borderId="59" xfId="0" applyFont="1" applyFill="1" applyBorder="1" applyAlignment="1">
      <alignment horizontal="centerContinuous"/>
    </xf>
    <xf numFmtId="0" fontId="64" fillId="2" borderId="60" xfId="0" applyFont="1" applyFill="1" applyBorder="1" applyAlignment="1">
      <alignment horizontal="centerContinuous"/>
    </xf>
    <xf numFmtId="0" fontId="64" fillId="2" borderId="61" xfId="0" applyFont="1" applyFill="1" applyBorder="1" applyAlignment="1">
      <alignment horizontal="centerContinuous"/>
    </xf>
    <xf numFmtId="0" fontId="70" fillId="2" borderId="60" xfId="0" applyFont="1" applyFill="1" applyBorder="1" applyAlignment="1">
      <alignment horizontal="centerContinuous"/>
    </xf>
    <xf numFmtId="0" fontId="53" fillId="2" borderId="0" xfId="0" applyFont="1" applyFill="1" applyAlignment="1">
      <alignment horizontal="center" wrapText="1"/>
    </xf>
    <xf numFmtId="0" fontId="50" fillId="2" borderId="0" xfId="0" applyFont="1" applyFill="1"/>
    <xf numFmtId="0" fontId="71" fillId="2" borderId="0" xfId="0" applyFont="1" applyFill="1"/>
    <xf numFmtId="190" fontId="49" fillId="2" borderId="0" xfId="0" applyNumberFormat="1" applyFont="1" applyFill="1"/>
    <xf numFmtId="0" fontId="69" fillId="2" borderId="0" xfId="0" applyFont="1" applyFill="1"/>
    <xf numFmtId="0" fontId="52" fillId="3" borderId="0" xfId="0" applyFont="1" applyFill="1" applyAlignment="1">
      <alignment horizontal="center"/>
    </xf>
    <xf numFmtId="0" fontId="52" fillId="3" borderId="65" xfId="0" applyFont="1" applyFill="1" applyBorder="1" applyAlignment="1">
      <alignment horizontal="center"/>
    </xf>
    <xf numFmtId="0" fontId="52" fillId="4" borderId="65" xfId="0" applyFont="1" applyFill="1" applyBorder="1" applyAlignment="1">
      <alignment horizontal="center"/>
    </xf>
    <xf numFmtId="0" fontId="62" fillId="3" borderId="62" xfId="0" applyFont="1" applyFill="1" applyBorder="1" applyAlignment="1">
      <alignment horizontal="center"/>
    </xf>
    <xf numFmtId="0" fontId="52" fillId="3" borderId="62" xfId="0" applyFont="1" applyFill="1" applyBorder="1" applyAlignment="1">
      <alignment horizontal="center"/>
    </xf>
    <xf numFmtId="0" fontId="52" fillId="3" borderId="63" xfId="0" applyFont="1" applyFill="1" applyBorder="1" applyAlignment="1">
      <alignment horizontal="center"/>
    </xf>
    <xf numFmtId="0" fontId="52" fillId="2" borderId="64" xfId="0" applyFont="1" applyFill="1" applyBorder="1" applyAlignment="1">
      <alignment horizontal="center"/>
    </xf>
    <xf numFmtId="0" fontId="52" fillId="4" borderId="62" xfId="0" applyFont="1" applyFill="1" applyBorder="1" applyAlignment="1">
      <alignment horizontal="center"/>
    </xf>
    <xf numFmtId="0" fontId="52" fillId="4" borderId="63" xfId="0" applyFont="1" applyFill="1" applyBorder="1" applyAlignment="1">
      <alignment horizontal="center"/>
    </xf>
    <xf numFmtId="0" fontId="52" fillId="4" borderId="64" xfId="0" applyFont="1" applyFill="1" applyBorder="1" applyAlignment="1">
      <alignment horizontal="center"/>
    </xf>
    <xf numFmtId="0" fontId="52" fillId="3" borderId="64" xfId="0" applyFont="1" applyFill="1" applyBorder="1" applyAlignment="1">
      <alignment horizontal="center"/>
    </xf>
    <xf numFmtId="0" fontId="52" fillId="4" borderId="0" xfId="0" applyFont="1" applyFill="1" applyAlignment="1">
      <alignment horizontal="center"/>
    </xf>
    <xf numFmtId="0" fontId="52" fillId="2" borderId="0" xfId="0" applyFont="1" applyFill="1" applyAlignment="1">
      <alignment horizontal="center"/>
    </xf>
    <xf numFmtId="173" fontId="71" fillId="2" borderId="0" xfId="0" applyNumberFormat="1" applyFont="1" applyFill="1"/>
    <xf numFmtId="176" fontId="49" fillId="2" borderId="0" xfId="0" applyNumberFormat="1" applyFont="1" applyFill="1"/>
    <xf numFmtId="0" fontId="59" fillId="2" borderId="0" xfId="0" applyFont="1" applyFill="1" applyAlignment="1">
      <alignment horizontal="center"/>
    </xf>
    <xf numFmtId="0" fontId="59" fillId="2" borderId="0" xfId="0" applyFont="1" applyFill="1"/>
    <xf numFmtId="0" fontId="51" fillId="2" borderId="2" xfId="0" applyFont="1" applyFill="1" applyBorder="1" applyAlignment="1">
      <alignment horizontal="center"/>
    </xf>
    <xf numFmtId="0" fontId="59" fillId="2" borderId="2" xfId="0" applyFont="1" applyFill="1" applyBorder="1" applyAlignment="1">
      <alignment horizontal="center" wrapText="1"/>
    </xf>
    <xf numFmtId="0" fontId="59" fillId="2" borderId="0" xfId="0" applyFont="1" applyFill="1" applyBorder="1" applyAlignment="1">
      <alignment horizontal="center" wrapText="1"/>
    </xf>
    <xf numFmtId="0" fontId="59" fillId="5" borderId="7" xfId="0" applyFont="1" applyFill="1" applyBorder="1" applyAlignment="1">
      <alignment horizontal="center" wrapText="1"/>
    </xf>
    <xf numFmtId="0" fontId="73" fillId="6" borderId="7" xfId="0" applyFont="1" applyFill="1" applyBorder="1" applyAlignment="1">
      <alignment horizontal="left"/>
    </xf>
    <xf numFmtId="0" fontId="73" fillId="10" borderId="7" xfId="0" applyFont="1" applyFill="1" applyBorder="1" applyAlignment="1">
      <alignment horizontal="center" wrapText="1"/>
    </xf>
    <xf numFmtId="0" fontId="73" fillId="10" borderId="7" xfId="0" applyFont="1" applyFill="1" applyBorder="1" applyAlignment="1">
      <alignment horizontal="left"/>
    </xf>
    <xf numFmtId="0" fontId="74" fillId="8" borderId="16" xfId="0" applyFont="1" applyFill="1" applyBorder="1" applyAlignment="1">
      <alignment horizontal="center" wrapText="1"/>
    </xf>
    <xf numFmtId="0" fontId="73" fillId="6" borderId="7" xfId="0" applyFont="1" applyFill="1" applyBorder="1" applyAlignment="1">
      <alignment horizontal="center" wrapText="1"/>
    </xf>
    <xf numFmtId="0" fontId="75" fillId="7" borderId="7" xfId="0" applyFont="1" applyFill="1" applyBorder="1" applyAlignment="1">
      <alignment horizontal="center" wrapText="1"/>
    </xf>
    <xf numFmtId="0" fontId="76" fillId="7" borderId="7" xfId="0" applyFont="1" applyFill="1" applyBorder="1" applyAlignment="1">
      <alignment horizontal="center" wrapText="1"/>
    </xf>
    <xf numFmtId="0" fontId="51" fillId="2" borderId="44" xfId="0" applyFont="1" applyFill="1" applyBorder="1" applyAlignment="1">
      <alignment horizontal="center" wrapText="1"/>
    </xf>
    <xf numFmtId="0" fontId="51" fillId="2" borderId="45" xfId="0" applyFont="1" applyFill="1" applyBorder="1" applyAlignment="1">
      <alignment horizontal="center" wrapText="1"/>
    </xf>
    <xf numFmtId="0" fontId="51" fillId="2" borderId="46" xfId="0" applyFont="1" applyFill="1" applyBorder="1" applyAlignment="1">
      <alignment horizontal="center" wrapText="1"/>
    </xf>
    <xf numFmtId="0" fontId="77" fillId="26" borderId="136" xfId="6" applyFont="1" applyAlignment="1">
      <alignment horizontal="center" wrapText="1"/>
    </xf>
    <xf numFmtId="0" fontId="51" fillId="9" borderId="45" xfId="0" applyFont="1" applyFill="1" applyBorder="1" applyAlignment="1">
      <alignment horizontal="center" wrapText="1"/>
    </xf>
    <xf numFmtId="0" fontId="55" fillId="6" borderId="45" xfId="0" applyFont="1" applyFill="1" applyBorder="1" applyAlignment="1">
      <alignment horizontal="center" wrapText="1"/>
    </xf>
    <xf numFmtId="0" fontId="49" fillId="2" borderId="0" xfId="0" applyFont="1" applyFill="1" applyAlignment="1">
      <alignment wrapText="1"/>
    </xf>
    <xf numFmtId="168" fontId="78" fillId="11" borderId="68" xfId="0" applyNumberFormat="1" applyFont="1" applyFill="1" applyBorder="1" applyAlignment="1" applyProtection="1">
      <alignment vertical="top"/>
    </xf>
    <xf numFmtId="180" fontId="72" fillId="12" borderId="95" xfId="0" applyNumberFormat="1" applyFont="1" applyFill="1" applyBorder="1" applyAlignment="1" applyProtection="1">
      <alignment horizontal="right"/>
    </xf>
    <xf numFmtId="0" fontId="72" fillId="12" borderId="97" xfId="0" applyNumberFormat="1" applyFont="1" applyFill="1" applyBorder="1" applyAlignment="1" applyProtection="1">
      <alignment horizontal="right"/>
    </xf>
    <xf numFmtId="0" fontId="52" fillId="2" borderId="0" xfId="0" applyFont="1" applyFill="1"/>
    <xf numFmtId="0" fontId="52" fillId="2" borderId="8" xfId="0" applyFont="1" applyFill="1" applyBorder="1" applyAlignment="1">
      <alignment horizontal="center"/>
    </xf>
    <xf numFmtId="0" fontId="61" fillId="2" borderId="8" xfId="0" applyFont="1" applyFill="1" applyBorder="1" applyAlignment="1">
      <alignment horizontal="center"/>
    </xf>
    <xf numFmtId="0" fontId="81" fillId="2" borderId="8" xfId="0" applyFont="1" applyFill="1" applyBorder="1" applyAlignment="1">
      <alignment horizontal="center"/>
    </xf>
    <xf numFmtId="0" fontId="81" fillId="2" borderId="15" xfId="0" applyFont="1" applyFill="1" applyBorder="1" applyAlignment="1">
      <alignment horizontal="center"/>
    </xf>
    <xf numFmtId="0" fontId="82" fillId="2" borderId="8" xfId="0" quotePrefix="1" applyFont="1" applyFill="1" applyBorder="1" applyAlignment="1"/>
    <xf numFmtId="173" fontId="61" fillId="2" borderId="0" xfId="0" applyNumberFormat="1" applyFont="1" applyFill="1" applyBorder="1" applyAlignment="1">
      <alignment horizontal="center"/>
    </xf>
    <xf numFmtId="176" fontId="52" fillId="7" borderId="47" xfId="0" applyNumberFormat="1" applyFont="1" applyFill="1" applyBorder="1" applyAlignment="1">
      <alignment horizontal="center"/>
    </xf>
    <xf numFmtId="176" fontId="52" fillId="7" borderId="15" xfId="0" applyNumberFormat="1" applyFont="1" applyFill="1" applyBorder="1" applyAlignment="1">
      <alignment horizontal="center"/>
    </xf>
    <xf numFmtId="177" fontId="52" fillId="7" borderId="15" xfId="1" applyNumberFormat="1" applyFont="1" applyFill="1" applyBorder="1" applyAlignment="1">
      <alignment horizontal="center"/>
    </xf>
    <xf numFmtId="0" fontId="52" fillId="2" borderId="15" xfId="1" applyNumberFormat="1" applyFont="1" applyFill="1" applyBorder="1" applyAlignment="1">
      <alignment horizontal="center"/>
    </xf>
    <xf numFmtId="176" fontId="52" fillId="7" borderId="48" xfId="0" applyNumberFormat="1" applyFont="1" applyFill="1" applyBorder="1" applyAlignment="1">
      <alignment horizontal="center"/>
    </xf>
    <xf numFmtId="190" fontId="49" fillId="2" borderId="0" xfId="1" applyNumberFormat="1" applyFont="1" applyFill="1"/>
    <xf numFmtId="178" fontId="52" fillId="7" borderId="15" xfId="1" applyNumberFormat="1" applyFont="1" applyFill="1" applyBorder="1" applyAlignment="1">
      <alignment horizontal="center"/>
    </xf>
    <xf numFmtId="178" fontId="61" fillId="2" borderId="15" xfId="1" applyNumberFormat="1" applyFont="1" applyFill="1" applyBorder="1" applyAlignment="1">
      <alignment horizontal="center"/>
    </xf>
    <xf numFmtId="178" fontId="52" fillId="7" borderId="15" xfId="1" applyNumberFormat="1" applyFont="1" applyFill="1" applyBorder="1" applyAlignment="1">
      <alignment horizontal="left"/>
    </xf>
    <xf numFmtId="178" fontId="52" fillId="7" borderId="48" xfId="1" applyNumberFormat="1" applyFont="1" applyFill="1" applyBorder="1" applyAlignment="1">
      <alignment horizontal="left"/>
    </xf>
    <xf numFmtId="189" fontId="49" fillId="2" borderId="0" xfId="0" applyNumberFormat="1" applyFont="1" applyFill="1"/>
    <xf numFmtId="2" fontId="49" fillId="2" borderId="0" xfId="1" applyNumberFormat="1" applyFont="1" applyFill="1"/>
    <xf numFmtId="2" fontId="49" fillId="2" borderId="0" xfId="0" applyNumberFormat="1" applyFont="1" applyFill="1"/>
    <xf numFmtId="168" fontId="58" fillId="11" borderId="0" xfId="0" applyNumberFormat="1" applyFont="1" applyFill="1" applyBorder="1" applyAlignment="1" applyProtection="1">
      <alignment horizontal="right"/>
    </xf>
    <xf numFmtId="2" fontId="72" fillId="14" borderId="83" xfId="0" applyNumberFormat="1" applyFont="1" applyFill="1" applyBorder="1" applyAlignment="1" applyProtection="1">
      <alignment horizontal="center"/>
    </xf>
    <xf numFmtId="171" fontId="72" fillId="14" borderId="84" xfId="0" applyNumberFormat="1" applyFont="1" applyFill="1" applyBorder="1" applyAlignment="1" applyProtection="1">
      <alignment horizontal="center"/>
    </xf>
    <xf numFmtId="180" fontId="72" fillId="14" borderId="80" xfId="0" applyNumberFormat="1" applyFont="1" applyFill="1" applyBorder="1" applyAlignment="1" applyProtection="1">
      <alignment horizontal="right"/>
    </xf>
    <xf numFmtId="179" fontId="72" fillId="12" borderId="83" xfId="0" applyNumberFormat="1" applyFont="1" applyFill="1" applyBorder="1" applyAlignment="1" applyProtection="1">
      <alignment horizontal="right"/>
    </xf>
    <xf numFmtId="2" fontId="72" fillId="12" borderId="85" xfId="0" quotePrefix="1" applyNumberFormat="1" applyFont="1" applyFill="1" applyBorder="1" applyAlignment="1" applyProtection="1">
      <alignment horizontal="left"/>
    </xf>
    <xf numFmtId="0" fontId="52" fillId="2" borderId="9" xfId="0" applyFont="1" applyFill="1" applyBorder="1" applyAlignment="1">
      <alignment horizontal="center"/>
    </xf>
    <xf numFmtId="0" fontId="61" fillId="2" borderId="9" xfId="0" applyFont="1" applyFill="1" applyBorder="1" applyAlignment="1">
      <alignment horizontal="center"/>
    </xf>
    <xf numFmtId="0" fontId="61" fillId="2" borderId="11" xfId="0" applyFont="1" applyFill="1" applyBorder="1" applyAlignment="1">
      <alignment horizontal="center"/>
    </xf>
    <xf numFmtId="0" fontId="61" fillId="2" borderId="10" xfId="0" applyFont="1" applyFill="1" applyBorder="1" applyAlignment="1">
      <alignment horizontal="center"/>
    </xf>
    <xf numFmtId="176" fontId="52" fillId="7" borderId="50" xfId="0" applyNumberFormat="1" applyFont="1" applyFill="1" applyBorder="1" applyAlignment="1">
      <alignment horizontal="center"/>
    </xf>
    <xf numFmtId="176" fontId="52" fillId="7" borderId="9" xfId="0" applyNumberFormat="1" applyFont="1" applyFill="1" applyBorder="1" applyAlignment="1">
      <alignment horizontal="center"/>
    </xf>
    <xf numFmtId="0" fontId="52" fillId="2" borderId="9" xfId="1" applyNumberFormat="1" applyFont="1" applyFill="1" applyBorder="1" applyAlignment="1">
      <alignment horizontal="center"/>
    </xf>
    <xf numFmtId="177" fontId="52" fillId="7" borderId="9" xfId="1" applyNumberFormat="1" applyFont="1" applyFill="1" applyBorder="1" applyAlignment="1">
      <alignment horizontal="center"/>
    </xf>
    <xf numFmtId="168" fontId="83" fillId="11" borderId="68" xfId="0" applyNumberFormat="1" applyFont="1" applyFill="1" applyBorder="1" applyAlignment="1" applyProtection="1">
      <alignment vertical="top"/>
    </xf>
    <xf numFmtId="0" fontId="49" fillId="13" borderId="0" xfId="0" applyFont="1" applyFill="1"/>
    <xf numFmtId="0" fontId="61" fillId="2" borderId="58" xfId="0" applyFont="1" applyFill="1" applyBorder="1" applyAlignment="1">
      <alignment horizontal="center"/>
    </xf>
    <xf numFmtId="0" fontId="61" fillId="2" borderId="0" xfId="0" applyFont="1" applyFill="1" applyBorder="1" applyAlignment="1">
      <alignment horizontal="center"/>
    </xf>
    <xf numFmtId="173" fontId="49" fillId="2" borderId="0" xfId="0" applyNumberFormat="1" applyFont="1" applyFill="1"/>
    <xf numFmtId="0" fontId="60" fillId="2" borderId="0" xfId="0" applyFont="1" applyFill="1" applyBorder="1" applyAlignment="1">
      <alignment horizontal="left"/>
    </xf>
    <xf numFmtId="0" fontId="49" fillId="2" borderId="0" xfId="0" applyFont="1" applyFill="1" applyAlignment="1">
      <alignment horizontal="right"/>
    </xf>
    <xf numFmtId="0" fontId="49" fillId="2" borderId="126" xfId="0" applyFont="1" applyFill="1" applyBorder="1"/>
    <xf numFmtId="0" fontId="49" fillId="2" borderId="127" xfId="0" applyFont="1" applyFill="1" applyBorder="1"/>
    <xf numFmtId="0" fontId="49" fillId="2" borderId="68" xfId="0" applyFont="1" applyFill="1" applyBorder="1"/>
    <xf numFmtId="0" fontId="49" fillId="2" borderId="128" xfId="0" applyFont="1" applyFill="1" applyBorder="1"/>
    <xf numFmtId="9" fontId="49" fillId="2" borderId="0" xfId="0" applyNumberFormat="1" applyFont="1" applyFill="1"/>
    <xf numFmtId="0" fontId="49" fillId="2" borderId="0" xfId="0" applyFont="1" applyFill="1" applyProtection="1"/>
    <xf numFmtId="0" fontId="49" fillId="2" borderId="129" xfId="0" applyFont="1" applyFill="1" applyBorder="1"/>
    <xf numFmtId="0" fontId="49" fillId="2" borderId="125" xfId="0" applyFont="1" applyFill="1" applyBorder="1"/>
    <xf numFmtId="0" fontId="88" fillId="27" borderId="53" xfId="0" applyFont="1" applyFill="1" applyBorder="1"/>
    <xf numFmtId="0" fontId="49" fillId="2" borderId="53" xfId="0" applyFont="1" applyFill="1" applyBorder="1"/>
    <xf numFmtId="0" fontId="89" fillId="2" borderId="53" xfId="0" applyFont="1" applyFill="1" applyBorder="1"/>
    <xf numFmtId="0" fontId="49" fillId="2" borderId="53" xfId="0" applyFont="1" applyFill="1" applyBorder="1" applyAlignment="1">
      <alignment wrapText="1"/>
    </xf>
    <xf numFmtId="0" fontId="61" fillId="2" borderId="0" xfId="0" applyFont="1" applyFill="1" applyAlignment="1">
      <alignment horizontal="center"/>
    </xf>
    <xf numFmtId="0" fontId="53" fillId="2" borderId="0" xfId="0" applyFont="1" applyFill="1" applyBorder="1" applyAlignment="1">
      <alignment vertical="top"/>
    </xf>
    <xf numFmtId="2" fontId="36" fillId="14" borderId="151" xfId="0" applyNumberFormat="1" applyFont="1" applyFill="1" applyBorder="1" applyAlignment="1" applyProtection="1">
      <alignment horizontal="center"/>
    </xf>
    <xf numFmtId="171" fontId="36" fillId="14" borderId="152" xfId="0" applyNumberFormat="1" applyFont="1" applyFill="1" applyBorder="1" applyAlignment="1" applyProtection="1">
      <alignment horizontal="center"/>
    </xf>
    <xf numFmtId="180" fontId="36" fillId="14" borderId="144" xfId="0" applyNumberFormat="1" applyFont="1" applyFill="1" applyBorder="1" applyAlignment="1" applyProtection="1">
      <alignment horizontal="right"/>
    </xf>
    <xf numFmtId="180" fontId="36" fillId="12" borderId="27" xfId="0" applyNumberFormat="1" applyFont="1" applyFill="1" applyBorder="1" applyAlignment="1" applyProtection="1">
      <alignment horizontal="right"/>
    </xf>
    <xf numFmtId="0" fontId="36" fillId="12" borderId="89" xfId="0" applyNumberFormat="1" applyFont="1" applyFill="1" applyBorder="1" applyAlignment="1" applyProtection="1">
      <alignment horizontal="right"/>
    </xf>
    <xf numFmtId="179" fontId="36" fillId="12" borderId="151" xfId="0" applyNumberFormat="1" applyFont="1" applyFill="1" applyBorder="1" applyAlignment="1" applyProtection="1">
      <alignment horizontal="right"/>
    </xf>
    <xf numFmtId="2" fontId="36" fillId="12" borderId="153" xfId="0" quotePrefix="1" applyNumberFormat="1" applyFont="1" applyFill="1" applyBorder="1" applyAlignment="1" applyProtection="1">
      <alignment horizontal="left"/>
    </xf>
    <xf numFmtId="169" fontId="56" fillId="29" borderId="92" xfId="0" applyNumberFormat="1" applyFont="1" applyFill="1" applyBorder="1" applyAlignment="1" applyProtection="1">
      <alignment horizontal="center"/>
      <protection locked="0"/>
    </xf>
    <xf numFmtId="167" fontId="79" fillId="29" borderId="93" xfId="0" applyNumberFormat="1" applyFont="1" applyFill="1" applyBorder="1" applyAlignment="1" applyProtection="1">
      <alignment horizontal="center"/>
      <protection locked="0"/>
    </xf>
    <xf numFmtId="167" fontId="80" fillId="29" borderId="94" xfId="0" applyNumberFormat="1" applyFont="1" applyFill="1" applyBorder="1" applyAlignment="1" applyProtection="1">
      <alignment horizontal="center"/>
      <protection locked="0"/>
    </xf>
    <xf numFmtId="171" fontId="79" fillId="29" borderId="95" xfId="0" applyNumberFormat="1" applyFont="1" applyFill="1" applyBorder="1" applyAlignment="1" applyProtection="1">
      <alignment horizontal="center"/>
      <protection locked="0"/>
    </xf>
    <xf numFmtId="2" fontId="79" fillId="29" borderId="96" xfId="0" applyNumberFormat="1" applyFont="1" applyFill="1" applyBorder="1" applyAlignment="1" applyProtection="1">
      <alignment horizontal="center"/>
      <protection locked="0"/>
    </xf>
    <xf numFmtId="174" fontId="79" fillId="29" borderId="93" xfId="0" applyNumberFormat="1" applyFont="1" applyFill="1" applyBorder="1" applyAlignment="1" applyProtection="1">
      <protection locked="0"/>
    </xf>
    <xf numFmtId="167" fontId="80" fillId="29" borderId="139" xfId="0" applyNumberFormat="1" applyFont="1" applyFill="1" applyBorder="1" applyAlignment="1" applyProtection="1">
      <alignment horizontal="center"/>
      <protection locked="0"/>
    </xf>
    <xf numFmtId="0" fontId="80" fillId="29" borderId="140" xfId="0" applyNumberFormat="1" applyFont="1" applyFill="1" applyBorder="1" applyAlignment="1" applyProtection="1">
      <alignment horizontal="center"/>
      <protection locked="0"/>
    </xf>
    <xf numFmtId="0" fontId="80" fillId="29" borderId="137" xfId="0" applyNumberFormat="1" applyFont="1" applyFill="1" applyBorder="1" applyAlignment="1" applyProtection="1">
      <alignment horizontal="center"/>
      <protection locked="0"/>
    </xf>
    <xf numFmtId="9" fontId="80" fillId="29" borderId="138" xfId="1" applyFont="1" applyFill="1" applyBorder="1" applyAlignment="1" applyProtection="1">
      <alignment horizontal="center"/>
      <protection locked="0"/>
    </xf>
    <xf numFmtId="174" fontId="79" fillId="29" borderId="84" xfId="0" applyNumberFormat="1" applyFont="1" applyFill="1" applyBorder="1" applyAlignment="1" applyProtection="1">
      <alignment horizontal="center"/>
      <protection locked="0"/>
    </xf>
    <xf numFmtId="169" fontId="32" fillId="29" borderId="92" xfId="0" applyNumberFormat="1" applyFont="1" applyFill="1" applyBorder="1" applyAlignment="1" applyProtection="1">
      <alignment horizontal="center"/>
      <protection locked="0"/>
    </xf>
    <xf numFmtId="167" fontId="34" fillId="29" borderId="93" xfId="0" applyNumberFormat="1" applyFont="1" applyFill="1" applyBorder="1" applyAlignment="1" applyProtection="1">
      <alignment horizontal="center"/>
      <protection locked="0"/>
    </xf>
    <xf numFmtId="167" fontId="35" fillId="29" borderId="94" xfId="0" applyNumberFormat="1" applyFont="1" applyFill="1" applyBorder="1" applyAlignment="1" applyProtection="1">
      <alignment horizontal="center"/>
      <protection locked="0"/>
    </xf>
    <xf numFmtId="167" fontId="35" fillId="29" borderId="139" xfId="0" applyNumberFormat="1" applyFont="1" applyFill="1" applyBorder="1" applyAlignment="1" applyProtection="1">
      <alignment horizontal="center"/>
      <protection locked="0"/>
    </xf>
    <xf numFmtId="0" fontId="35" fillId="29" borderId="140" xfId="0" applyNumberFormat="1" applyFont="1" applyFill="1" applyBorder="1" applyAlignment="1" applyProtection="1">
      <alignment horizontal="center"/>
      <protection locked="0"/>
    </xf>
    <xf numFmtId="0" fontId="35" fillId="29" borderId="137" xfId="0" applyNumberFormat="1" applyFont="1" applyFill="1" applyBorder="1" applyAlignment="1" applyProtection="1">
      <alignment horizontal="center"/>
      <protection locked="0"/>
    </xf>
    <xf numFmtId="9" fontId="35" fillId="29" borderId="138" xfId="1" applyFont="1" applyFill="1" applyBorder="1" applyAlignment="1" applyProtection="1">
      <alignment horizontal="center"/>
      <protection locked="0"/>
    </xf>
    <xf numFmtId="171" fontId="34" fillId="29" borderId="83" xfId="0" applyNumberFormat="1" applyFont="1" applyFill="1" applyBorder="1" applyAlignment="1" applyProtection="1">
      <alignment horizontal="center"/>
      <protection locked="0"/>
    </xf>
    <xf numFmtId="2" fontId="34" fillId="29" borderId="84" xfId="0" applyNumberFormat="1" applyFont="1" applyFill="1" applyBorder="1" applyAlignment="1" applyProtection="1">
      <alignment horizontal="center"/>
      <protection locked="0"/>
    </xf>
    <xf numFmtId="174" fontId="34" fillId="29" borderId="81" xfId="0" applyNumberFormat="1" applyFont="1" applyFill="1" applyBorder="1" applyAlignment="1" applyProtection="1">
      <protection locked="0"/>
    </xf>
    <xf numFmtId="174" fontId="34" fillId="29" borderId="84" xfId="0" applyNumberFormat="1" applyFont="1" applyFill="1" applyBorder="1" applyAlignment="1" applyProtection="1">
      <alignment horizontal="center"/>
      <protection locked="0"/>
    </xf>
    <xf numFmtId="169" fontId="32" fillId="29" borderId="80" xfId="0" applyNumberFormat="1" applyFont="1" applyFill="1" applyBorder="1" applyAlignment="1" applyProtection="1">
      <alignment horizontal="center"/>
      <protection locked="0"/>
    </xf>
    <xf numFmtId="167" fontId="34" fillId="29" borderId="81" xfId="0" applyNumberFormat="1" applyFont="1" applyFill="1" applyBorder="1" applyAlignment="1" applyProtection="1">
      <alignment horizontal="center"/>
      <protection locked="0"/>
    </xf>
    <xf numFmtId="167" fontId="35" fillId="29" borderId="82" xfId="0" applyNumberFormat="1" applyFont="1" applyFill="1" applyBorder="1" applyAlignment="1" applyProtection="1">
      <alignment horizontal="center"/>
      <protection locked="0"/>
    </xf>
    <xf numFmtId="169" fontId="32" fillId="29" borderId="144" xfId="0" applyNumberFormat="1" applyFont="1" applyFill="1" applyBorder="1" applyAlignment="1" applyProtection="1">
      <alignment horizontal="center"/>
      <protection locked="0"/>
    </xf>
    <xf numFmtId="167" fontId="34" fillId="29" borderId="145" xfId="0" applyNumberFormat="1" applyFont="1" applyFill="1" applyBorder="1" applyAlignment="1" applyProtection="1">
      <alignment horizontal="center"/>
      <protection locked="0"/>
    </xf>
    <xf numFmtId="167" fontId="35" fillId="29" borderId="146" xfId="0" applyNumberFormat="1" applyFont="1" applyFill="1" applyBorder="1" applyAlignment="1" applyProtection="1">
      <alignment horizontal="center"/>
      <protection locked="0"/>
    </xf>
    <xf numFmtId="167" fontId="35" fillId="29" borderId="147" xfId="0" applyNumberFormat="1" applyFont="1" applyFill="1" applyBorder="1" applyAlignment="1" applyProtection="1">
      <alignment horizontal="center"/>
      <protection locked="0"/>
    </xf>
    <xf numFmtId="0" fontId="35" fillId="29" borderId="148" xfId="0" applyNumberFormat="1" applyFont="1" applyFill="1" applyBorder="1" applyAlignment="1" applyProtection="1">
      <alignment horizontal="center"/>
      <protection locked="0"/>
    </xf>
    <xf numFmtId="0" fontId="35" fillId="29" borderId="149" xfId="0" applyNumberFormat="1" applyFont="1" applyFill="1" applyBorder="1" applyAlignment="1" applyProtection="1">
      <alignment horizontal="center"/>
      <protection locked="0"/>
    </xf>
    <xf numFmtId="9" fontId="35" fillId="29" borderId="150" xfId="1" applyFont="1" applyFill="1" applyBorder="1" applyAlignment="1" applyProtection="1">
      <alignment horizontal="center"/>
      <protection locked="0"/>
    </xf>
    <xf numFmtId="171" fontId="34" fillId="29" borderId="151" xfId="0" applyNumberFormat="1" applyFont="1" applyFill="1" applyBorder="1" applyAlignment="1" applyProtection="1">
      <alignment horizontal="center"/>
      <protection locked="0"/>
    </xf>
    <xf numFmtId="2" fontId="34" fillId="29" borderId="152" xfId="0" applyNumberFormat="1" applyFont="1" applyFill="1" applyBorder="1" applyAlignment="1" applyProtection="1">
      <alignment horizontal="center"/>
      <protection locked="0"/>
    </xf>
    <xf numFmtId="174" fontId="34" fillId="29" borderId="145" xfId="0" applyNumberFormat="1" applyFont="1" applyFill="1" applyBorder="1" applyAlignment="1" applyProtection="1">
      <protection locked="0"/>
    </xf>
    <xf numFmtId="174" fontId="34" fillId="29" borderId="152" xfId="0" applyNumberFormat="1" applyFont="1" applyFill="1" applyBorder="1" applyAlignment="1" applyProtection="1">
      <alignment horizontal="center"/>
      <protection locked="0"/>
    </xf>
    <xf numFmtId="0" fontId="49" fillId="33" borderId="0" xfId="0" applyFont="1" applyFill="1"/>
    <xf numFmtId="0" fontId="49" fillId="33" borderId="0" xfId="0" applyFont="1" applyFill="1" applyAlignment="1">
      <alignment horizontal="right"/>
    </xf>
    <xf numFmtId="0" fontId="61" fillId="33" borderId="0" xfId="0" applyFont="1" applyFill="1" applyBorder="1" applyAlignment="1">
      <alignment horizontal="center"/>
    </xf>
    <xf numFmtId="0" fontId="84" fillId="33" borderId="0" xfId="0" applyFont="1" applyFill="1"/>
    <xf numFmtId="0" fontId="84" fillId="33" borderId="0" xfId="0" applyFont="1" applyFill="1" applyAlignment="1">
      <alignment horizontal="center"/>
    </xf>
    <xf numFmtId="0" fontId="50" fillId="33" borderId="0" xfId="0" applyFont="1" applyFill="1" applyBorder="1"/>
    <xf numFmtId="0" fontId="53" fillId="33" borderId="0" xfId="0" applyFont="1" applyFill="1" applyBorder="1" applyAlignment="1">
      <alignment horizontal="left"/>
    </xf>
    <xf numFmtId="0" fontId="49" fillId="33" borderId="0" xfId="0" applyFont="1" applyFill="1" applyBorder="1"/>
    <xf numFmtId="0" fontId="51" fillId="33" borderId="0" xfId="0" applyFont="1" applyFill="1" applyBorder="1" applyAlignment="1">
      <alignment horizontal="center" wrapText="1"/>
    </xf>
    <xf numFmtId="0" fontId="51" fillId="33" borderId="0" xfId="0" applyFont="1" applyFill="1" applyBorder="1" applyAlignment="1">
      <alignment horizontal="left" indent="1"/>
    </xf>
    <xf numFmtId="0" fontId="53" fillId="33" borderId="0" xfId="0" applyFont="1" applyFill="1" applyBorder="1" applyAlignment="1">
      <alignment horizontal="right"/>
    </xf>
    <xf numFmtId="0" fontId="53" fillId="33" borderId="0" xfId="0" applyFont="1" applyFill="1" applyBorder="1" applyAlignment="1">
      <alignment horizontal="center"/>
    </xf>
    <xf numFmtId="0" fontId="50" fillId="33" borderId="2" xfId="0" applyFont="1" applyFill="1" applyBorder="1"/>
    <xf numFmtId="0" fontId="51" fillId="33" borderId="2" xfId="0" applyFont="1" applyFill="1" applyBorder="1" applyAlignment="1">
      <alignment horizontal="center"/>
    </xf>
    <xf numFmtId="0" fontId="49" fillId="33" borderId="2" xfId="0" applyFont="1" applyFill="1" applyBorder="1"/>
    <xf numFmtId="0" fontId="51" fillId="33" borderId="2" xfId="0" applyFont="1" applyFill="1" applyBorder="1" applyAlignment="1">
      <alignment horizontal="center" wrapText="1"/>
    </xf>
    <xf numFmtId="0" fontId="59" fillId="33" borderId="0" xfId="0" applyFont="1" applyFill="1" applyAlignment="1">
      <alignment horizontal="right"/>
    </xf>
    <xf numFmtId="0" fontId="61" fillId="33" borderId="4" xfId="0" applyFont="1" applyFill="1" applyBorder="1" applyAlignment="1">
      <alignment horizontal="center"/>
    </xf>
    <xf numFmtId="0" fontId="49" fillId="33" borderId="4" xfId="0" applyFont="1" applyFill="1" applyBorder="1"/>
    <xf numFmtId="0" fontId="85" fillId="33" borderId="4" xfId="0" quotePrefix="1" applyFont="1" applyFill="1" applyBorder="1"/>
    <xf numFmtId="0" fontId="86" fillId="33" borderId="0" xfId="0" applyFont="1" applyFill="1" applyBorder="1"/>
    <xf numFmtId="0" fontId="61" fillId="33" borderId="6" xfId="0" applyFont="1" applyFill="1" applyBorder="1" applyAlignment="1">
      <alignment horizontal="center"/>
    </xf>
    <xf numFmtId="0" fontId="49" fillId="33" borderId="6" xfId="0" applyFont="1" applyFill="1" applyBorder="1"/>
    <xf numFmtId="0" fontId="87" fillId="33" borderId="5" xfId="0" quotePrefix="1" applyFont="1" applyFill="1" applyBorder="1" applyAlignment="1">
      <alignment horizontal="left"/>
    </xf>
    <xf numFmtId="0" fontId="61" fillId="33" borderId="5" xfId="0" applyFont="1" applyFill="1" applyBorder="1" applyAlignment="1">
      <alignment horizontal="center"/>
    </xf>
    <xf numFmtId="0" fontId="85" fillId="33" borderId="5" xfId="0" quotePrefix="1" applyFont="1" applyFill="1" applyBorder="1" applyAlignment="1">
      <alignment horizontal="left"/>
    </xf>
    <xf numFmtId="0" fontId="52" fillId="33" borderId="5" xfId="0" applyFont="1" applyFill="1" applyBorder="1" applyAlignment="1">
      <alignment horizontal="right" indent="2"/>
    </xf>
    <xf numFmtId="0" fontId="53" fillId="33" borderId="5" xfId="0" applyFont="1" applyFill="1" applyBorder="1"/>
    <xf numFmtId="0" fontId="49" fillId="33" borderId="5" xfId="0" applyFont="1" applyFill="1" applyBorder="1"/>
    <xf numFmtId="0" fontId="85" fillId="33" borderId="5" xfId="0" quotePrefix="1" applyFont="1" applyFill="1" applyBorder="1" applyAlignment="1">
      <alignment horizontal="left" vertical="top"/>
    </xf>
    <xf numFmtId="0" fontId="87" fillId="33" borderId="5" xfId="0" quotePrefix="1" applyFont="1" applyFill="1" applyBorder="1" applyAlignment="1">
      <alignment horizontal="left" vertical="top"/>
    </xf>
    <xf numFmtId="0" fontId="90" fillId="33" borderId="6" xfId="0" applyFont="1" applyFill="1" applyBorder="1"/>
    <xf numFmtId="0" fontId="64" fillId="33" borderId="6" xfId="0" applyFont="1" applyFill="1" applyBorder="1"/>
    <xf numFmtId="0" fontId="60" fillId="33" borderId="6" xfId="0" applyFont="1" applyFill="1" applyBorder="1"/>
    <xf numFmtId="0" fontId="91" fillId="33" borderId="2" xfId="0" applyFont="1" applyFill="1" applyBorder="1" applyAlignment="1">
      <alignment horizontal="center"/>
    </xf>
    <xf numFmtId="0" fontId="70" fillId="33" borderId="0" xfId="0" applyFont="1" applyFill="1" applyBorder="1" applyAlignment="1">
      <alignment horizontal="center"/>
    </xf>
    <xf numFmtId="0" fontId="90" fillId="33" borderId="0" xfId="0" applyFont="1" applyFill="1" applyBorder="1" applyAlignment="1">
      <alignment horizontal="left"/>
    </xf>
    <xf numFmtId="0" fontId="53" fillId="33" borderId="4" xfId="0" applyFont="1" applyFill="1" applyBorder="1" applyAlignment="1">
      <alignment vertical="top"/>
    </xf>
    <xf numFmtId="0" fontId="85" fillId="33" borderId="4" xfId="0" quotePrefix="1" applyFont="1" applyFill="1" applyBorder="1" applyAlignment="1">
      <alignment horizontal="left"/>
    </xf>
    <xf numFmtId="0" fontId="92" fillId="33" borderId="0" xfId="0" applyFont="1" applyFill="1" applyBorder="1" applyAlignment="1">
      <alignment horizontal="left"/>
    </xf>
    <xf numFmtId="0" fontId="87" fillId="33" borderId="5" xfId="0" quotePrefix="1" applyFont="1" applyFill="1" applyBorder="1"/>
    <xf numFmtId="0" fontId="85" fillId="33" borderId="5" xfId="0" quotePrefix="1" applyFont="1" applyFill="1" applyBorder="1"/>
    <xf numFmtId="0" fontId="53" fillId="33" borderId="5" xfId="0" applyFont="1" applyFill="1" applyBorder="1" applyAlignment="1">
      <alignment horizontal="left" vertical="top"/>
    </xf>
    <xf numFmtId="0" fontId="93" fillId="33" borderId="0" xfId="0" applyFont="1" applyFill="1" applyBorder="1" applyAlignment="1">
      <alignment horizontal="left"/>
    </xf>
    <xf numFmtId="0" fontId="53" fillId="33" borderId="5" xfId="0" applyFont="1" applyFill="1" applyBorder="1" applyAlignment="1">
      <alignment vertical="top"/>
    </xf>
    <xf numFmtId="0" fontId="70" fillId="33" borderId="5" xfId="0" applyFont="1" applyFill="1" applyBorder="1" applyAlignment="1">
      <alignment horizontal="center"/>
    </xf>
    <xf numFmtId="0" fontId="94" fillId="33" borderId="0" xfId="0" applyFont="1" applyFill="1" applyBorder="1" applyAlignment="1">
      <alignment horizontal="left"/>
    </xf>
    <xf numFmtId="0" fontId="57" fillId="33" borderId="0" xfId="0" applyFont="1" applyFill="1" applyAlignment="1">
      <alignment horizontal="right"/>
    </xf>
    <xf numFmtId="0" fontId="57" fillId="33" borderId="0" xfId="0" applyFont="1" applyFill="1" applyAlignment="1">
      <alignment horizontal="left"/>
    </xf>
    <xf numFmtId="0" fontId="95" fillId="33" borderId="5" xfId="0" quotePrefix="1" applyFont="1" applyFill="1" applyBorder="1" applyAlignment="1">
      <alignment horizontal="left"/>
    </xf>
    <xf numFmtId="0" fontId="96" fillId="33" borderId="5" xfId="0" quotePrefix="1" applyFont="1" applyFill="1" applyBorder="1" applyAlignment="1">
      <alignment horizontal="left"/>
    </xf>
    <xf numFmtId="0" fontId="64" fillId="33" borderId="6" xfId="0" applyFont="1" applyFill="1" applyBorder="1" applyAlignment="1">
      <alignment horizontal="left"/>
    </xf>
    <xf numFmtId="0" fontId="70" fillId="33" borderId="6" xfId="0" applyFont="1" applyFill="1" applyBorder="1" applyAlignment="1">
      <alignment horizontal="center"/>
    </xf>
    <xf numFmtId="0" fontId="91" fillId="33" borderId="0" xfId="0" applyFont="1" applyFill="1" applyBorder="1" applyAlignment="1">
      <alignment horizontal="center"/>
    </xf>
    <xf numFmtId="0" fontId="97" fillId="33" borderId="2" xfId="0" applyFont="1" applyFill="1" applyBorder="1" applyAlignment="1">
      <alignment horizontal="center"/>
    </xf>
    <xf numFmtId="0" fontId="59" fillId="33" borderId="0" xfId="0" applyFont="1" applyFill="1" applyBorder="1" applyAlignment="1">
      <alignment horizontal="right"/>
    </xf>
    <xf numFmtId="0" fontId="59" fillId="33" borderId="0" xfId="0" applyFont="1" applyFill="1" applyAlignment="1">
      <alignment horizontal="center" vertical="top"/>
    </xf>
    <xf numFmtId="0" fontId="53" fillId="33" borderId="0" xfId="0" applyFont="1" applyFill="1" applyBorder="1" applyAlignment="1">
      <alignment horizontal="left" vertical="top"/>
    </xf>
    <xf numFmtId="0" fontId="52" fillId="33" borderId="4" xfId="0" applyFont="1" applyFill="1" applyBorder="1" applyAlignment="1">
      <alignment horizontal="center"/>
    </xf>
    <xf numFmtId="0" fontId="53" fillId="33" borderId="4" xfId="0" applyFont="1" applyFill="1" applyBorder="1" applyAlignment="1">
      <alignment horizontal="left"/>
    </xf>
    <xf numFmtId="0" fontId="70" fillId="33" borderId="4" xfId="0" applyFont="1" applyFill="1" applyBorder="1" applyAlignment="1">
      <alignment horizontal="center"/>
    </xf>
    <xf numFmtId="0" fontId="70" fillId="33" borderId="0" xfId="0" applyFont="1" applyFill="1" applyAlignment="1">
      <alignment horizontal="center"/>
    </xf>
    <xf numFmtId="0" fontId="52" fillId="33" borderId="5" xfId="0" applyFont="1" applyFill="1" applyBorder="1" applyAlignment="1">
      <alignment horizontal="center"/>
    </xf>
    <xf numFmtId="0" fontId="53" fillId="33" borderId="5" xfId="0" applyFont="1" applyFill="1" applyBorder="1" applyAlignment="1">
      <alignment horizontal="left"/>
    </xf>
    <xf numFmtId="0" fontId="62" fillId="33" borderId="5" xfId="0" applyFont="1" applyFill="1" applyBorder="1" applyAlignment="1">
      <alignment horizontal="center"/>
    </xf>
    <xf numFmtId="0" fontId="98" fillId="33" borderId="5" xfId="0" quotePrefix="1" applyFont="1" applyFill="1" applyBorder="1" applyAlignment="1"/>
    <xf numFmtId="0" fontId="64" fillId="33" borderId="0" xfId="0" applyFont="1" applyFill="1" applyAlignment="1">
      <alignment horizontal="right" vertical="top"/>
    </xf>
    <xf numFmtId="0" fontId="52" fillId="33" borderId="0" xfId="0" applyFont="1" applyFill="1" applyAlignment="1">
      <alignment horizontal="center"/>
    </xf>
    <xf numFmtId="0" fontId="61" fillId="33" borderId="19" xfId="0" applyFont="1" applyFill="1" applyBorder="1" applyAlignment="1">
      <alignment horizontal="center"/>
    </xf>
    <xf numFmtId="0" fontId="52" fillId="33" borderId="0" xfId="0" applyFont="1" applyFill="1" applyBorder="1" applyAlignment="1">
      <alignment horizontal="right" indent="2"/>
    </xf>
    <xf numFmtId="0" fontId="53" fillId="33" borderId="0" xfId="0" applyFont="1" applyFill="1"/>
    <xf numFmtId="0" fontId="71" fillId="33" borderId="0" xfId="0" applyFont="1" applyFill="1"/>
    <xf numFmtId="0" fontId="51" fillId="33" borderId="0" xfId="0" applyFont="1" applyFill="1" applyBorder="1" applyAlignment="1">
      <alignment horizontal="center"/>
    </xf>
    <xf numFmtId="0" fontId="59" fillId="33" borderId="0" xfId="0" applyFont="1" applyFill="1"/>
    <xf numFmtId="0" fontId="49" fillId="33" borderId="0" xfId="0" applyFont="1" applyFill="1" applyAlignment="1">
      <alignment horizontal="left"/>
    </xf>
    <xf numFmtId="0" fontId="52" fillId="33" borderId="0" xfId="0" applyFont="1" applyFill="1" applyAlignment="1">
      <alignment horizontal="left"/>
    </xf>
    <xf numFmtId="0" fontId="51" fillId="33" borderId="2" xfId="0" applyFont="1" applyFill="1" applyBorder="1" applyAlignment="1">
      <alignment horizontal="left"/>
    </xf>
    <xf numFmtId="0" fontId="61" fillId="33" borderId="0" xfId="0" applyFont="1" applyFill="1" applyAlignment="1">
      <alignment horizontal="right"/>
    </xf>
    <xf numFmtId="0" fontId="51" fillId="33" borderId="0" xfId="0" applyFont="1" applyFill="1" applyAlignment="1">
      <alignment horizontal="left"/>
    </xf>
    <xf numFmtId="9" fontId="49" fillId="33" borderId="0" xfId="0" applyNumberFormat="1" applyFont="1" applyFill="1" applyAlignment="1">
      <alignment horizontal="center"/>
    </xf>
    <xf numFmtId="0" fontId="1" fillId="0" borderId="0" xfId="0" applyFont="1"/>
    <xf numFmtId="0" fontId="25" fillId="13" borderId="0" xfId="0" applyFont="1" applyFill="1" applyAlignment="1">
      <alignment horizontal="right"/>
    </xf>
    <xf numFmtId="0" fontId="25" fillId="13" borderId="0" xfId="0" applyFont="1" applyFill="1" applyAlignment="1">
      <alignment horizontal="right" vertical="center"/>
    </xf>
    <xf numFmtId="0" fontId="100" fillId="32" borderId="0" xfId="0" applyFont="1" applyFill="1"/>
    <xf numFmtId="0" fontId="101" fillId="32" borderId="3" xfId="0" applyFont="1" applyFill="1" applyBorder="1" applyAlignment="1">
      <alignment horizontal="left"/>
    </xf>
    <xf numFmtId="0" fontId="102" fillId="32" borderId="3" xfId="0" applyFont="1" applyFill="1" applyBorder="1" applyAlignment="1">
      <alignment horizontal="centerContinuous"/>
    </xf>
    <xf numFmtId="0" fontId="103" fillId="32" borderId="3" xfId="0" applyFont="1" applyFill="1" applyBorder="1" applyAlignment="1">
      <alignment horizontal="centerContinuous"/>
    </xf>
    <xf numFmtId="0" fontId="1" fillId="13" borderId="0" xfId="0" applyFont="1" applyFill="1"/>
    <xf numFmtId="0" fontId="105" fillId="13" borderId="0" xfId="0" applyFont="1" applyFill="1" applyAlignment="1">
      <alignment vertical="center"/>
    </xf>
    <xf numFmtId="0" fontId="25" fillId="13" borderId="0" xfId="0" applyFont="1" applyFill="1" applyAlignment="1">
      <alignment horizontal="center"/>
    </xf>
    <xf numFmtId="0" fontId="25" fillId="13" borderId="0" xfId="0" applyFont="1" applyFill="1" applyBorder="1" applyAlignment="1" applyProtection="1">
      <alignment horizontal="center"/>
    </xf>
    <xf numFmtId="0" fontId="25" fillId="13" borderId="6" xfId="0" applyFont="1" applyFill="1" applyBorder="1" applyAlignment="1" applyProtection="1">
      <alignment horizontal="center"/>
    </xf>
    <xf numFmtId="0" fontId="107" fillId="13" borderId="0" xfId="0" applyFont="1" applyFill="1"/>
    <xf numFmtId="0" fontId="32" fillId="28" borderId="56" xfId="0" applyFont="1" applyFill="1" applyBorder="1" applyAlignment="1" applyProtection="1">
      <alignment horizontal="center" vertical="center"/>
      <protection locked="0"/>
    </xf>
    <xf numFmtId="0" fontId="32" fillId="13" borderId="0" xfId="0" applyFont="1" applyFill="1" applyAlignment="1">
      <alignment vertical="center" wrapText="1"/>
    </xf>
    <xf numFmtId="167" fontId="25" fillId="13" borderId="19" xfId="0" applyNumberFormat="1" applyFont="1" applyFill="1" applyBorder="1" applyAlignment="1" applyProtection="1">
      <alignment horizontal="center"/>
    </xf>
    <xf numFmtId="191" fontId="25" fillId="13" borderId="0" xfId="0" applyNumberFormat="1" applyFont="1" applyFill="1" applyBorder="1" applyAlignment="1" applyProtection="1">
      <alignment horizontal="center"/>
    </xf>
    <xf numFmtId="0" fontId="25" fillId="13" borderId="0" xfId="0" applyFont="1" applyFill="1" applyAlignment="1">
      <alignment vertical="top"/>
    </xf>
    <xf numFmtId="0" fontId="25" fillId="13" borderId="0" xfId="0" applyFont="1" applyFill="1" applyAlignment="1">
      <alignment horizontal="left"/>
    </xf>
    <xf numFmtId="0" fontId="32" fillId="28" borderId="135" xfId="0" applyFont="1" applyFill="1" applyBorder="1" applyAlignment="1" applyProtection="1">
      <alignment horizontal="right"/>
      <protection locked="0"/>
    </xf>
    <xf numFmtId="0" fontId="108" fillId="13" borderId="0" xfId="0" applyFont="1" applyFill="1" applyBorder="1" applyAlignment="1" applyProtection="1">
      <alignment horizontal="right" indent="15"/>
    </xf>
    <xf numFmtId="0" fontId="32" fillId="13" borderId="0" xfId="0" applyFont="1" applyFill="1" applyAlignment="1">
      <alignment horizontal="right" wrapText="1"/>
    </xf>
    <xf numFmtId="188" fontId="25" fillId="13" borderId="0" xfId="0" applyNumberFormat="1" applyFont="1" applyFill="1" applyAlignment="1">
      <alignment horizontal="center"/>
    </xf>
    <xf numFmtId="187" fontId="109" fillId="13" borderId="0" xfId="1" applyNumberFormat="1" applyFont="1" applyFill="1" applyBorder="1" applyAlignment="1" applyProtection="1">
      <alignment horizontal="center"/>
    </xf>
    <xf numFmtId="183" fontId="25" fillId="28" borderId="56" xfId="0" applyNumberFormat="1" applyFont="1" applyFill="1" applyBorder="1" applyAlignment="1" applyProtection="1">
      <alignment horizontal="center" vertical="center"/>
      <protection locked="0"/>
    </xf>
    <xf numFmtId="0" fontId="32" fillId="13" borderId="0" xfId="0" applyFont="1" applyFill="1"/>
    <xf numFmtId="0" fontId="111" fillId="13" borderId="0" xfId="0" applyFont="1" applyFill="1" applyProtection="1">
      <protection hidden="1"/>
    </xf>
    <xf numFmtId="0" fontId="25" fillId="13" borderId="0" xfId="0" applyFont="1" applyFill="1" applyAlignment="1" applyProtection="1">
      <alignment horizontal="left"/>
    </xf>
    <xf numFmtId="0" fontId="112" fillId="13" borderId="0" xfId="0" applyFont="1" applyFill="1" applyProtection="1">
      <protection hidden="1"/>
    </xf>
    <xf numFmtId="0" fontId="25" fillId="13" borderId="0" xfId="0" applyFont="1" applyFill="1" applyAlignment="1" applyProtection="1"/>
    <xf numFmtId="0" fontId="25" fillId="13" borderId="0" xfId="0" applyFont="1" applyFill="1" applyBorder="1" applyAlignment="1" applyProtection="1">
      <alignment horizontal="left" indent="1"/>
    </xf>
    <xf numFmtId="0" fontId="32" fillId="13" borderId="0" xfId="0" applyFont="1" applyFill="1" applyAlignment="1" applyProtection="1">
      <alignment horizontal="right"/>
    </xf>
    <xf numFmtId="182" fontId="32" fillId="13" borderId="0" xfId="0" applyNumberFormat="1" applyFont="1" applyFill="1" applyAlignment="1">
      <alignment horizontal="center"/>
    </xf>
    <xf numFmtId="0" fontId="109" fillId="13" borderId="0" xfId="0" applyFont="1" applyFill="1"/>
    <xf numFmtId="186" fontId="32" fillId="13" borderId="19" xfId="0" applyNumberFormat="1" applyFont="1" applyFill="1" applyBorder="1" applyAlignment="1" applyProtection="1">
      <alignment horizontal="right"/>
    </xf>
    <xf numFmtId="186" fontId="32" fillId="13" borderId="19" xfId="0" applyNumberFormat="1" applyFont="1" applyFill="1" applyBorder="1" applyAlignment="1" applyProtection="1">
      <alignment horizontal="center"/>
    </xf>
    <xf numFmtId="0" fontId="113" fillId="13" borderId="0" xfId="0" applyNumberFormat="1" applyFont="1" applyFill="1" applyBorder="1" applyAlignment="1" applyProtection="1">
      <alignment horizontal="left" indent="1"/>
    </xf>
    <xf numFmtId="0" fontId="114" fillId="13" borderId="0" xfId="0" applyFont="1" applyFill="1" applyAlignment="1">
      <alignment horizontal="right"/>
    </xf>
    <xf numFmtId="181" fontId="114" fillId="13" borderId="0" xfId="0" applyNumberFormat="1" applyFont="1" applyFill="1" applyBorder="1" applyAlignment="1" applyProtection="1">
      <alignment horizontal="center"/>
    </xf>
    <xf numFmtId="0" fontId="114" fillId="13" borderId="0" xfId="0" applyNumberFormat="1" applyFont="1" applyFill="1" applyBorder="1"/>
    <xf numFmtId="0" fontId="25" fillId="13" borderId="0" xfId="0" applyFont="1" applyFill="1" applyBorder="1" applyProtection="1"/>
    <xf numFmtId="0" fontId="25" fillId="13" borderId="0" xfId="0" applyFont="1" applyFill="1" applyAlignment="1"/>
    <xf numFmtId="0" fontId="32" fillId="28" borderId="0" xfId="0" applyFont="1" applyFill="1" applyAlignment="1" applyProtection="1">
      <alignment horizontal="right"/>
      <protection locked="0"/>
    </xf>
    <xf numFmtId="0" fontId="114" fillId="13" borderId="0" xfId="0" applyFont="1" applyFill="1" applyProtection="1"/>
    <xf numFmtId="0" fontId="115" fillId="13" borderId="0" xfId="0" applyFont="1" applyFill="1" applyProtection="1"/>
    <xf numFmtId="0" fontId="25" fillId="13" borderId="0" xfId="0" applyFont="1" applyFill="1" applyBorder="1"/>
    <xf numFmtId="0" fontId="116" fillId="13" borderId="0" xfId="0" applyFont="1" applyFill="1" applyBorder="1" applyAlignment="1" applyProtection="1">
      <alignment horizontal="center" wrapText="1"/>
    </xf>
    <xf numFmtId="0" fontId="99" fillId="30" borderId="66" xfId="0" applyFont="1" applyFill="1" applyBorder="1" applyAlignment="1">
      <alignment horizontal="centerContinuous" vertical="center"/>
    </xf>
    <xf numFmtId="0" fontId="117" fillId="30" borderId="51" xfId="0" applyFont="1" applyFill="1" applyBorder="1" applyAlignment="1">
      <alignment horizontal="centerContinuous" vertical="center" wrapText="1"/>
    </xf>
    <xf numFmtId="0" fontId="118" fillId="30" borderId="51" xfId="0" applyFont="1" applyFill="1" applyBorder="1" applyAlignment="1">
      <alignment horizontal="centerContinuous" vertical="center" wrapText="1"/>
    </xf>
    <xf numFmtId="0" fontId="118" fillId="30" borderId="52" xfId="0" applyFont="1" applyFill="1" applyBorder="1" applyAlignment="1">
      <alignment horizontal="centerContinuous" vertical="center" wrapText="1"/>
    </xf>
    <xf numFmtId="0" fontId="99" fillId="30" borderId="51" xfId="0" applyFont="1" applyFill="1" applyBorder="1" applyAlignment="1">
      <alignment horizontal="centerContinuous" vertical="center" wrapText="1"/>
    </xf>
    <xf numFmtId="0" fontId="99" fillId="30" borderId="52" xfId="0" applyFont="1" applyFill="1" applyBorder="1" applyAlignment="1">
      <alignment horizontal="centerContinuous" vertical="center" wrapText="1"/>
    </xf>
    <xf numFmtId="0" fontId="99" fillId="30" borderId="67" xfId="0" applyFont="1" applyFill="1" applyBorder="1" applyAlignment="1">
      <alignment horizontal="centerContinuous" vertical="center"/>
    </xf>
    <xf numFmtId="0" fontId="99" fillId="30" borderId="2" xfId="0" applyFont="1" applyFill="1" applyBorder="1" applyAlignment="1">
      <alignment horizontal="centerContinuous" wrapText="1"/>
    </xf>
    <xf numFmtId="0" fontId="117" fillId="30" borderId="2" xfId="0" applyFont="1" applyFill="1" applyBorder="1" applyAlignment="1">
      <alignment horizontal="centerContinuous" wrapText="1"/>
    </xf>
    <xf numFmtId="0" fontId="117" fillId="30" borderId="55" xfId="0" applyFont="1" applyFill="1" applyBorder="1" applyAlignment="1">
      <alignment horizontal="centerContinuous" wrapText="1"/>
    </xf>
    <xf numFmtId="0" fontId="99" fillId="30" borderId="53" xfId="0" applyFont="1" applyFill="1" applyBorder="1" applyAlignment="1">
      <alignment horizontal="center" vertical="center" wrapText="1"/>
    </xf>
    <xf numFmtId="0" fontId="99" fillId="30" borderId="0" xfId="0" applyFont="1" applyFill="1" applyBorder="1" applyAlignment="1">
      <alignment horizontal="centerContinuous" vertical="center" wrapText="1"/>
    </xf>
    <xf numFmtId="0" fontId="118" fillId="30" borderId="89" xfId="0" applyFont="1" applyFill="1" applyBorder="1" applyAlignment="1">
      <alignment horizontal="centerContinuous" wrapText="1"/>
    </xf>
    <xf numFmtId="0" fontId="99" fillId="30" borderId="36" xfId="0" applyFont="1" applyFill="1" applyBorder="1" applyAlignment="1">
      <alignment horizontal="centerContinuous" wrapText="1"/>
    </xf>
    <xf numFmtId="0" fontId="99" fillId="30" borderId="89" xfId="0" applyFont="1" applyFill="1" applyBorder="1" applyAlignment="1">
      <alignment horizontal="center" vertical="center" wrapText="1"/>
    </xf>
    <xf numFmtId="0" fontId="36" fillId="30" borderId="54" xfId="0" applyFont="1" applyFill="1" applyBorder="1" applyAlignment="1">
      <alignment horizontal="center" vertical="center" textRotation="90"/>
    </xf>
    <xf numFmtId="0" fontId="99" fillId="30" borderId="55" xfId="0" applyFont="1" applyFill="1" applyBorder="1" applyAlignment="1">
      <alignment horizontal="left"/>
    </xf>
    <xf numFmtId="0" fontId="99" fillId="30" borderId="53" xfId="0" applyFont="1" applyFill="1" applyBorder="1" applyAlignment="1" applyProtection="1">
      <alignment horizontal="center" vertical="center" wrapText="1"/>
      <protection locked="0"/>
    </xf>
    <xf numFmtId="168" fontId="120" fillId="11" borderId="68" xfId="0" applyNumberFormat="1" applyFont="1" applyFill="1" applyBorder="1" applyAlignment="1" applyProtection="1">
      <alignment vertical="top"/>
    </xf>
    <xf numFmtId="168" fontId="25" fillId="11" borderId="3" xfId="0" applyNumberFormat="1" applyFont="1" applyFill="1" applyBorder="1" applyAlignment="1" applyProtection="1">
      <alignment horizontal="right"/>
    </xf>
    <xf numFmtId="171" fontId="34" fillId="29" borderId="95" xfId="0" applyNumberFormat="1" applyFont="1" applyFill="1" applyBorder="1" applyAlignment="1" applyProtection="1">
      <alignment horizontal="center"/>
      <protection locked="0"/>
    </xf>
    <xf numFmtId="2" fontId="34" fillId="29" borderId="96" xfId="0" applyNumberFormat="1" applyFont="1" applyFill="1" applyBorder="1" applyAlignment="1" applyProtection="1">
      <alignment horizontal="center"/>
      <protection locked="0"/>
    </xf>
    <xf numFmtId="174" fontId="34" fillId="29" borderId="93" xfId="0" applyNumberFormat="1" applyFont="1" applyFill="1" applyBorder="1" applyAlignment="1" applyProtection="1">
      <protection locked="0"/>
    </xf>
    <xf numFmtId="174" fontId="34" fillId="29" borderId="96" xfId="0" applyNumberFormat="1" applyFont="1" applyFill="1" applyBorder="1" applyAlignment="1" applyProtection="1">
      <alignment horizontal="center"/>
      <protection locked="0"/>
    </xf>
    <xf numFmtId="2" fontId="36" fillId="14" borderId="95" xfId="0" applyNumberFormat="1" applyFont="1" applyFill="1" applyBorder="1" applyAlignment="1" applyProtection="1">
      <alignment horizontal="center"/>
    </xf>
    <xf numFmtId="171" fontId="36" fillId="14" borderId="96" xfId="0" applyNumberFormat="1" applyFont="1" applyFill="1" applyBorder="1" applyAlignment="1" applyProtection="1">
      <alignment horizontal="center"/>
    </xf>
    <xf numFmtId="180" fontId="36" fillId="14" borderId="92" xfId="0" applyNumberFormat="1" applyFont="1" applyFill="1" applyBorder="1" applyAlignment="1" applyProtection="1">
      <alignment horizontal="right"/>
    </xf>
    <xf numFmtId="179" fontId="36" fillId="12" borderId="95" xfId="0" applyNumberFormat="1" applyFont="1" applyFill="1" applyBorder="1" applyAlignment="1" applyProtection="1">
      <alignment horizontal="right"/>
    </xf>
    <xf numFmtId="2" fontId="36" fillId="12" borderId="98" xfId="0" quotePrefix="1" applyNumberFormat="1" applyFont="1" applyFill="1" applyBorder="1" applyAlignment="1" applyProtection="1">
      <alignment horizontal="left"/>
    </xf>
    <xf numFmtId="0" fontId="1" fillId="13" borderId="141" xfId="0" applyFont="1" applyFill="1" applyBorder="1"/>
    <xf numFmtId="0" fontId="121" fillId="12" borderId="0" xfId="0" applyFont="1" applyFill="1" applyBorder="1" applyAlignment="1">
      <alignment horizontal="left" vertical="top"/>
    </xf>
    <xf numFmtId="0" fontId="1" fillId="12" borderId="0" xfId="0" applyFont="1" applyFill="1" applyAlignment="1"/>
    <xf numFmtId="0" fontId="1" fillId="12" borderId="0" xfId="0" applyFont="1" applyFill="1"/>
    <xf numFmtId="0" fontId="122" fillId="12" borderId="0" xfId="0" applyFont="1" applyFill="1" applyAlignment="1">
      <alignment horizontal="right"/>
    </xf>
    <xf numFmtId="0" fontId="2" fillId="13" borderId="0" xfId="0" applyFont="1" applyFill="1" applyAlignment="1">
      <alignment vertical="top"/>
    </xf>
    <xf numFmtId="0" fontId="2" fillId="13" borderId="0" xfId="0" applyFont="1" applyFill="1" applyAlignment="1">
      <alignment horizontal="center"/>
    </xf>
    <xf numFmtId="0" fontId="1" fillId="13" borderId="0" xfId="0" applyFont="1" applyFill="1" applyAlignment="1">
      <alignment horizontal="center"/>
    </xf>
    <xf numFmtId="0" fontId="25" fillId="32" borderId="0" xfId="0" applyFont="1" applyFill="1"/>
    <xf numFmtId="0" fontId="25" fillId="0" borderId="0" xfId="0" applyFont="1" applyFill="1"/>
    <xf numFmtId="0" fontId="32" fillId="0" borderId="0" xfId="0" applyFont="1" applyFill="1" applyBorder="1"/>
    <xf numFmtId="0" fontId="32" fillId="0" borderId="3" xfId="0" applyFont="1" applyFill="1" applyBorder="1"/>
    <xf numFmtId="0" fontId="25" fillId="0" borderId="3" xfId="0" applyFont="1" applyFill="1" applyBorder="1"/>
    <xf numFmtId="0" fontId="25" fillId="0" borderId="0" xfId="0" applyFont="1" applyFill="1" applyBorder="1"/>
    <xf numFmtId="0" fontId="32" fillId="0" borderId="0" xfId="0" applyFont="1" applyFill="1"/>
    <xf numFmtId="175" fontId="129" fillId="0" borderId="0" xfId="0" applyNumberFormat="1" applyFont="1" applyFill="1" applyAlignment="1">
      <alignment vertical="top"/>
    </xf>
    <xf numFmtId="175" fontId="25" fillId="0" borderId="0" xfId="0" applyNumberFormat="1" applyFont="1" applyFill="1" applyAlignment="1">
      <alignment vertical="top"/>
    </xf>
    <xf numFmtId="0" fontId="25" fillId="0" borderId="0" xfId="0" applyFont="1" applyFill="1" applyAlignment="1">
      <alignment vertical="top" wrapText="1"/>
    </xf>
    <xf numFmtId="0" fontId="109" fillId="0" borderId="0" xfId="3" applyFont="1" applyFill="1"/>
    <xf numFmtId="0" fontId="25" fillId="0" borderId="0" xfId="3" applyFont="1" applyFill="1" applyAlignment="1">
      <alignment vertical="top" wrapText="1"/>
    </xf>
    <xf numFmtId="0" fontId="109" fillId="0" borderId="0" xfId="0" applyFont="1" applyFill="1"/>
    <xf numFmtId="0" fontId="25" fillId="0" borderId="0" xfId="0" applyFont="1" applyFill="1" applyAlignment="1">
      <alignment vertical="top"/>
    </xf>
    <xf numFmtId="0" fontId="32" fillId="0" borderId="0" xfId="0" applyFont="1" applyFill="1" applyAlignment="1">
      <alignment vertical="top" wrapText="1"/>
    </xf>
    <xf numFmtId="0" fontId="25" fillId="0" borderId="2" xfId="0" applyFont="1" applyFill="1" applyBorder="1"/>
    <xf numFmtId="0" fontId="25" fillId="0" borderId="0" xfId="3" applyFont="1" applyFill="1" applyAlignment="1">
      <alignment horizontal="right" vertical="top"/>
    </xf>
    <xf numFmtId="0" fontId="25" fillId="0" borderId="0" xfId="3" applyFont="1" applyFill="1" applyAlignment="1">
      <alignment wrapText="1"/>
    </xf>
    <xf numFmtId="0" fontId="32" fillId="0" borderId="0" xfId="3" applyFont="1" applyFill="1" applyAlignment="1">
      <alignment horizontal="right" vertical="top"/>
    </xf>
    <xf numFmtId="0" fontId="25" fillId="0" borderId="0" xfId="0" applyFont="1" applyFill="1" applyAlignment="1">
      <alignment horizontal="right" vertical="top"/>
    </xf>
    <xf numFmtId="0" fontId="25" fillId="0" borderId="0" xfId="0" applyFont="1" applyFill="1" applyAlignment="1">
      <alignment wrapText="1"/>
    </xf>
    <xf numFmtId="0" fontId="25" fillId="0" borderId="0" xfId="0" applyFont="1" applyFill="1" applyAlignment="1">
      <alignment horizontal="right"/>
    </xf>
    <xf numFmtId="0" fontId="114" fillId="0" borderId="0" xfId="0" applyFont="1" applyFill="1"/>
    <xf numFmtId="0" fontId="1" fillId="32" borderId="0" xfId="0" applyFont="1" applyFill="1"/>
    <xf numFmtId="0" fontId="130" fillId="0" borderId="0" xfId="0" applyFont="1"/>
    <xf numFmtId="175" fontId="131" fillId="0" borderId="0" xfId="0" applyNumberFormat="1" applyFont="1" applyFill="1" applyAlignment="1">
      <alignment vertical="top"/>
    </xf>
    <xf numFmtId="0" fontId="130" fillId="0" borderId="0" xfId="0" applyFont="1" applyFill="1" applyAlignment="1">
      <alignment horizontal="left" vertical="top" wrapText="1" indent="1"/>
    </xf>
    <xf numFmtId="0" fontId="130" fillId="0" borderId="0" xfId="0" applyFont="1" applyAlignment="1">
      <alignment horizontal="left" vertical="top" wrapText="1" indent="1"/>
    </xf>
    <xf numFmtId="175" fontId="129" fillId="0" borderId="0" xfId="0" applyNumberFormat="1" applyFont="1" applyAlignment="1">
      <alignment vertical="top"/>
    </xf>
    <xf numFmtId="0" fontId="25" fillId="0" borderId="0" xfId="0" applyFont="1" applyAlignment="1">
      <alignment vertical="top" wrapText="1"/>
    </xf>
    <xf numFmtId="0" fontId="133" fillId="0" borderId="0" xfId="0" applyFont="1" applyAlignment="1">
      <alignment horizontal="left" vertical="top" wrapText="1" indent="1"/>
    </xf>
    <xf numFmtId="0" fontId="133" fillId="0" borderId="0" xfId="0" applyFont="1"/>
    <xf numFmtId="0" fontId="6" fillId="0" borderId="0" xfId="0" applyFont="1" applyProtection="1"/>
    <xf numFmtId="0" fontId="10" fillId="0" borderId="0" xfId="0" applyFont="1" applyProtection="1"/>
    <xf numFmtId="0" fontId="1" fillId="0" borderId="0" xfId="0" applyFont="1" applyProtection="1">
      <protection locked="0"/>
    </xf>
    <xf numFmtId="0" fontId="134" fillId="12" borderId="0" xfId="0" applyFont="1" applyFill="1" applyBorder="1" applyAlignment="1">
      <alignment horizontal="center" vertical="center"/>
    </xf>
    <xf numFmtId="0" fontId="110" fillId="13" borderId="0" xfId="0" applyFont="1" applyFill="1" applyAlignment="1">
      <alignment wrapText="1"/>
    </xf>
    <xf numFmtId="167" fontId="35" fillId="29" borderId="155" xfId="0" applyNumberFormat="1" applyFont="1" applyFill="1" applyBorder="1" applyAlignment="1" applyProtection="1">
      <alignment horizontal="center"/>
      <protection locked="0"/>
    </xf>
    <xf numFmtId="0" fontId="35" fillId="29" borderId="156" xfId="0" applyNumberFormat="1" applyFont="1" applyFill="1" applyBorder="1" applyAlignment="1" applyProtection="1">
      <alignment horizontal="center"/>
      <protection locked="0"/>
    </xf>
    <xf numFmtId="0" fontId="35" fillId="29" borderId="157" xfId="0" applyNumberFormat="1" applyFont="1" applyFill="1" applyBorder="1" applyAlignment="1" applyProtection="1">
      <alignment horizontal="center"/>
      <protection locked="0"/>
    </xf>
    <xf numFmtId="9" fontId="35" fillId="29" borderId="158" xfId="1" applyFont="1" applyFill="1" applyBorder="1" applyAlignment="1" applyProtection="1">
      <alignment horizontal="center"/>
      <protection locked="0"/>
    </xf>
    <xf numFmtId="167" fontId="35" fillId="29" borderId="159" xfId="0" applyNumberFormat="1" applyFont="1" applyFill="1" applyBorder="1" applyAlignment="1" applyProtection="1">
      <alignment horizontal="center"/>
      <protection locked="0"/>
    </xf>
    <xf numFmtId="0" fontId="35" fillId="29" borderId="160" xfId="0" applyNumberFormat="1" applyFont="1" applyFill="1" applyBorder="1" applyAlignment="1" applyProtection="1">
      <alignment horizontal="center"/>
      <protection locked="0"/>
    </xf>
    <xf numFmtId="0" fontId="35" fillId="29" borderId="74" xfId="0" applyNumberFormat="1" applyFont="1" applyFill="1" applyBorder="1" applyAlignment="1" applyProtection="1">
      <alignment horizontal="center"/>
      <protection locked="0"/>
    </xf>
    <xf numFmtId="9" fontId="35" fillId="29" borderId="28" xfId="1" applyFont="1" applyFill="1" applyBorder="1" applyAlignment="1" applyProtection="1">
      <alignment horizontal="center"/>
      <protection locked="0"/>
    </xf>
    <xf numFmtId="167" fontId="35" fillId="29" borderId="161" xfId="0" applyNumberFormat="1" applyFont="1" applyFill="1" applyBorder="1" applyAlignment="1" applyProtection="1">
      <alignment horizontal="center"/>
      <protection locked="0"/>
    </xf>
    <xf numFmtId="0" fontId="60" fillId="2" borderId="0" xfId="0" applyFont="1" applyFill="1" applyAlignment="1">
      <alignment horizontal="right" wrapText="1"/>
    </xf>
    <xf numFmtId="0" fontId="2" fillId="13" borderId="0" xfId="0" applyFont="1" applyFill="1" applyAlignment="1">
      <alignment horizontal="left" vertical="top" wrapText="1"/>
    </xf>
    <xf numFmtId="0" fontId="25" fillId="29" borderId="86" xfId="0" applyFont="1" applyFill="1" applyBorder="1" applyAlignment="1" applyProtection="1">
      <alignment horizontal="left" vertical="top"/>
      <protection locked="0"/>
    </xf>
    <xf numFmtId="0" fontId="25" fillId="29" borderId="79" xfId="0" applyFont="1" applyFill="1" applyBorder="1" applyAlignment="1" applyProtection="1">
      <alignment horizontal="left" vertical="top"/>
      <protection locked="0"/>
    </xf>
    <xf numFmtId="0" fontId="25" fillId="29" borderId="86" xfId="0" applyNumberFormat="1" applyFont="1" applyFill="1" applyBorder="1" applyAlignment="1" applyProtection="1">
      <alignment horizontal="left" vertical="top"/>
      <protection locked="0"/>
    </xf>
    <xf numFmtId="0" fontId="25" fillId="29" borderId="79" xfId="0" applyNumberFormat="1" applyFont="1" applyFill="1" applyBorder="1" applyAlignment="1" applyProtection="1">
      <protection locked="0"/>
    </xf>
    <xf numFmtId="0" fontId="99" fillId="30" borderId="55" xfId="0" applyFont="1" applyFill="1" applyBorder="1" applyAlignment="1">
      <alignment horizontal="center" vertical="center" wrapText="1"/>
    </xf>
    <xf numFmtId="0" fontId="118" fillId="31" borderId="55" xfId="0" applyFont="1" applyFill="1" applyBorder="1" applyAlignment="1">
      <alignment horizontal="center" vertical="center"/>
    </xf>
    <xf numFmtId="0" fontId="25" fillId="29" borderId="79" xfId="0" applyFont="1" applyFill="1" applyBorder="1" applyProtection="1">
      <protection locked="0"/>
    </xf>
    <xf numFmtId="0" fontId="2" fillId="12" borderId="0" xfId="0" applyFont="1" applyFill="1" applyBorder="1" applyAlignment="1">
      <alignment horizontal="left" vertical="top" wrapText="1"/>
    </xf>
    <xf numFmtId="0" fontId="123" fillId="12" borderId="0" xfId="0" applyFont="1" applyFill="1" applyBorder="1" applyAlignment="1">
      <alignment horizontal="left" vertical="top" wrapText="1"/>
    </xf>
    <xf numFmtId="0" fontId="123" fillId="0" borderId="0" xfId="0" applyFont="1" applyAlignment="1"/>
    <xf numFmtId="0" fontId="25" fillId="29" borderId="142" xfId="0" applyNumberFormat="1" applyFont="1" applyFill="1" applyBorder="1" applyAlignment="1" applyProtection="1">
      <alignment horizontal="left" vertical="top"/>
      <protection locked="0"/>
    </xf>
    <xf numFmtId="0" fontId="25" fillId="29" borderId="143" xfId="0" applyNumberFormat="1" applyFont="1" applyFill="1" applyBorder="1" applyAlignment="1" applyProtection="1">
      <protection locked="0"/>
    </xf>
    <xf numFmtId="0" fontId="104" fillId="32" borderId="0" xfId="0" applyFont="1" applyFill="1" applyAlignment="1">
      <alignment horizontal="right" vertical="center"/>
    </xf>
    <xf numFmtId="172" fontId="33" fillId="13" borderId="0" xfId="0" applyNumberFormat="1" applyFont="1" applyFill="1" applyBorder="1" applyAlignment="1" applyProtection="1">
      <alignment horizontal="left" vertical="top" wrapText="1"/>
    </xf>
    <xf numFmtId="0" fontId="99" fillId="30" borderId="105" xfId="0" applyFont="1" applyFill="1" applyBorder="1" applyAlignment="1">
      <alignment horizontal="center" vertical="center" wrapText="1"/>
    </xf>
    <xf numFmtId="0" fontId="99" fillId="30" borderId="106" xfId="0" applyFont="1" applyFill="1" applyBorder="1" applyAlignment="1">
      <alignment horizontal="center" vertical="center" wrapText="1"/>
    </xf>
    <xf numFmtId="0" fontId="32" fillId="28" borderId="75" xfId="0" applyFont="1" applyFill="1" applyBorder="1" applyAlignment="1" applyProtection="1">
      <alignment horizontal="left" vertical="center"/>
      <protection locked="0"/>
    </xf>
    <xf numFmtId="0" fontId="32" fillId="28" borderId="76" xfId="0" applyFont="1" applyFill="1" applyBorder="1" applyAlignment="1" applyProtection="1">
      <alignment horizontal="left" vertical="center"/>
      <protection locked="0"/>
    </xf>
    <xf numFmtId="0" fontId="32" fillId="28" borderId="77" xfId="0" applyFont="1" applyFill="1" applyBorder="1" applyAlignment="1" applyProtection="1">
      <alignment horizontal="left" vertical="center"/>
      <protection locked="0"/>
    </xf>
    <xf numFmtId="0" fontId="99" fillId="30" borderId="78" xfId="0" applyFont="1" applyFill="1" applyBorder="1" applyAlignment="1">
      <alignment horizontal="center" vertical="center" wrapText="1"/>
    </xf>
    <xf numFmtId="0" fontId="99" fillId="30" borderId="51" xfId="0" applyFont="1" applyFill="1" applyBorder="1" applyAlignment="1">
      <alignment horizontal="center" vertical="center" wrapText="1"/>
    </xf>
    <xf numFmtId="0" fontId="99" fillId="30" borderId="154" xfId="0" applyFont="1" applyFill="1" applyBorder="1" applyAlignment="1">
      <alignment horizontal="center" vertical="center" wrapText="1"/>
    </xf>
    <xf numFmtId="0" fontId="32" fillId="13" borderId="0" xfId="0" applyFont="1" applyFill="1" applyAlignment="1">
      <alignment horizontal="center" vertical="center"/>
    </xf>
    <xf numFmtId="0" fontId="32" fillId="13" borderId="0" xfId="0" applyFont="1" applyFill="1" applyAlignment="1">
      <alignment horizontal="center" vertical="center" wrapText="1"/>
    </xf>
    <xf numFmtId="0" fontId="110" fillId="13" borderId="0" xfId="0" applyFont="1" applyFill="1" applyAlignment="1">
      <alignment horizontal="left" wrapText="1"/>
    </xf>
    <xf numFmtId="172" fontId="33" fillId="13" borderId="0" xfId="0" applyNumberFormat="1" applyFont="1" applyFill="1" applyBorder="1" applyAlignment="1" applyProtection="1">
      <alignment horizontal="center" vertical="top" wrapText="1"/>
    </xf>
    <xf numFmtId="0" fontId="25" fillId="13" borderId="0" xfId="0" applyFont="1" applyFill="1"/>
    <xf numFmtId="0" fontId="99" fillId="30" borderId="90" xfId="0" applyFont="1" applyFill="1" applyBorder="1" applyAlignment="1">
      <alignment horizontal="center" vertical="center" wrapText="1"/>
    </xf>
    <xf numFmtId="0" fontId="118" fillId="31" borderId="88" xfId="0" applyFont="1" applyFill="1" applyBorder="1" applyAlignment="1">
      <alignment horizontal="center" vertical="center" wrapText="1"/>
    </xf>
    <xf numFmtId="0" fontId="118" fillId="31" borderId="91" xfId="0" applyFont="1" applyFill="1" applyBorder="1" applyAlignment="1">
      <alignment horizontal="center" vertical="center" wrapText="1"/>
    </xf>
    <xf numFmtId="0" fontId="32" fillId="13" borderId="0" xfId="0" applyFont="1" applyFill="1" applyAlignment="1" applyProtection="1">
      <alignment horizontal="left"/>
      <protection locked="0"/>
    </xf>
    <xf numFmtId="0" fontId="99" fillId="32" borderId="0" xfId="0" applyFont="1" applyFill="1" applyAlignment="1">
      <alignment horizontal="right" vertical="center"/>
    </xf>
    <xf numFmtId="0" fontId="105" fillId="32" borderId="0" xfId="0" applyFont="1" applyFill="1" applyAlignment="1">
      <alignment horizontal="right" vertical="center"/>
    </xf>
    <xf numFmtId="0" fontId="1" fillId="32" borderId="0" xfId="0" applyFont="1" applyFill="1" applyAlignment="1">
      <alignment horizontal="center"/>
    </xf>
    <xf numFmtId="0" fontId="1" fillId="0" borderId="0" xfId="0" applyFont="1"/>
    <xf numFmtId="0" fontId="42" fillId="0" borderId="0" xfId="0" applyFont="1" applyAlignment="1">
      <alignment vertical="center" wrapText="1"/>
    </xf>
    <xf numFmtId="0" fontId="42" fillId="0" borderId="0" xfId="0" applyFont="1" applyAlignment="1">
      <alignment vertical="center"/>
    </xf>
    <xf numFmtId="0" fontId="42" fillId="0" borderId="0" xfId="0" applyFont="1" applyAlignment="1">
      <alignment wrapText="1"/>
    </xf>
    <xf numFmtId="0" fontId="42" fillId="0" borderId="0" xfId="0" applyFont="1"/>
  </cellXfs>
  <cellStyles count="7">
    <cellStyle name="Accent2" xfId="5" builtinId="33"/>
    <cellStyle name="Check Cell" xfId="6" builtinId="23"/>
    <cellStyle name="Normal" xfId="0" builtinId="0"/>
    <cellStyle name="Normal 2" xfId="3" xr:uid="{00000000-0005-0000-0000-000003000000}"/>
    <cellStyle name="Normal 3" xfId="2" xr:uid="{00000000-0005-0000-0000-000004000000}"/>
    <cellStyle name="Percent" xfId="1" builtinId="5"/>
    <cellStyle name="Percent 2" xfId="4" xr:uid="{00000000-0005-0000-0000-000006000000}"/>
  </cellStyles>
  <dxfs count="96">
    <dxf>
      <fill>
        <patternFill>
          <bgColor rgb="FFDBD2C2"/>
        </patternFill>
      </fill>
    </dxf>
    <dxf>
      <fill>
        <patternFill>
          <bgColor rgb="FFDBD2C2"/>
        </patternFill>
      </fill>
      <border>
        <left style="thin">
          <color rgb="FF969696"/>
        </left>
        <right style="thin">
          <color rgb="FF969696"/>
        </right>
        <top style="thin">
          <color rgb="FF969696"/>
        </top>
        <bottom style="thin">
          <color rgb="FF969696"/>
        </bottom>
        <vertical/>
        <horizontal/>
      </border>
    </dxf>
    <dxf>
      <fill>
        <patternFill>
          <bgColor rgb="FF999FA7"/>
        </patternFill>
      </fill>
    </dxf>
    <dxf>
      <fill>
        <patternFill>
          <bgColor rgb="FF999FA7"/>
        </patternFill>
      </fill>
    </dxf>
    <dxf>
      <fill>
        <patternFill>
          <bgColor rgb="FF999FA7"/>
        </patternFill>
      </fill>
    </dxf>
    <dxf>
      <font>
        <color auto="1"/>
      </font>
      <fill>
        <patternFill patternType="solid">
          <bgColor rgb="FFD8BABB"/>
        </patternFill>
      </fill>
    </dxf>
    <dxf>
      <fill>
        <patternFill>
          <bgColor rgb="FFDBD2C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indexed="22"/>
        </patternFill>
      </fill>
    </dxf>
    <dxf>
      <font>
        <b/>
        <i val="0"/>
        <color auto="1"/>
      </font>
      <fill>
        <patternFill>
          <bgColor rgb="FFE2AF83"/>
        </patternFill>
      </fill>
    </dxf>
    <dxf>
      <font>
        <condense val="0"/>
        <extend val="0"/>
        <color indexed="9"/>
      </font>
      <fill>
        <patternFill patternType="solid">
          <bgColor theme="0"/>
        </patternFill>
      </fill>
      <border>
        <left/>
        <right/>
      </border>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ont>
        <color auto="1"/>
      </font>
      <border>
        <bottom style="thin">
          <color indexed="55"/>
        </bottom>
      </border>
    </dxf>
    <dxf>
      <font>
        <b/>
        <i val="0"/>
        <color auto="1"/>
      </font>
      <fill>
        <patternFill>
          <bgColor theme="0"/>
        </patternFill>
      </fill>
      <border>
        <bottom style="thin">
          <color rgb="FF969696"/>
        </bottom>
      </border>
    </dxf>
    <dxf>
      <font>
        <b/>
        <i val="0"/>
        <condense val="0"/>
        <extend val="0"/>
      </font>
    </dxf>
    <dxf>
      <font>
        <b/>
        <i val="0"/>
        <condense val="0"/>
        <extend val="0"/>
      </font>
    </dxf>
    <dxf>
      <font>
        <b/>
        <i val="0"/>
        <condense val="0"/>
        <extend val="0"/>
      </font>
    </dxf>
    <dxf>
      <font>
        <b/>
        <i val="0"/>
        <color auto="1"/>
      </font>
      <fill>
        <patternFill>
          <bgColor rgb="FFD8BABB"/>
        </patternFill>
      </fill>
    </dxf>
    <dxf>
      <font>
        <b/>
        <i val="0"/>
        <color auto="1"/>
      </font>
      <fill>
        <patternFill>
          <bgColor rgb="FFD8BABB"/>
        </patternFill>
      </fill>
    </dxf>
    <dxf>
      <font>
        <b/>
        <i/>
        <color theme="0"/>
      </font>
    </dxf>
    <dxf>
      <font>
        <b/>
        <i/>
        <color rgb="FFFF0000"/>
      </font>
    </dxf>
    <dxf>
      <font>
        <b/>
        <i/>
        <color rgb="FF008000"/>
      </font>
    </dxf>
    <dxf>
      <font>
        <b/>
        <i/>
        <color rgb="FFFF0000"/>
      </font>
    </dxf>
    <dxf>
      <font>
        <b/>
        <i/>
        <color rgb="FF008000"/>
      </font>
    </dxf>
    <dxf>
      <font>
        <b/>
        <i/>
        <color rgb="FFFF0000"/>
      </font>
    </dxf>
    <dxf>
      <font>
        <b/>
        <i/>
        <color rgb="FF008000"/>
      </font>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auto="1"/>
      </font>
      <fill>
        <patternFill>
          <bgColor rgb="FFD8BABB"/>
        </patternFill>
      </fill>
    </dxf>
    <dxf>
      <font>
        <color auto="1"/>
      </font>
      <fill>
        <patternFill>
          <bgColor rgb="FFD8BABB"/>
        </patternFill>
      </fill>
    </dxf>
    <dxf>
      <font>
        <condense val="0"/>
        <extend val="0"/>
      </font>
      <fill>
        <patternFill>
          <bgColor theme="0"/>
        </patternFill>
      </fill>
    </dxf>
    <dxf>
      <font>
        <b/>
        <i val="0"/>
        <color auto="1"/>
      </font>
      <fill>
        <patternFill>
          <bgColor rgb="FFD8BABB"/>
        </patternFill>
      </fill>
    </dxf>
    <dxf>
      <font>
        <b/>
        <i val="0"/>
        <color auto="1"/>
      </font>
      <fill>
        <patternFill>
          <bgColor rgb="FFDBD2C2"/>
        </patternFill>
      </fill>
    </dxf>
    <dxf>
      <font>
        <condense val="0"/>
        <extend val="0"/>
      </font>
      <fill>
        <patternFill>
          <bgColor theme="0"/>
        </patternFill>
      </fill>
    </dxf>
    <dxf>
      <font>
        <condense val="0"/>
        <extend val="0"/>
      </font>
      <fill>
        <patternFill>
          <bgColor rgb="FFDBD2C2"/>
        </patternFill>
      </fill>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ill>
        <patternFill patternType="solid">
          <bgColor rgb="FFD8BABB"/>
        </patternFill>
      </fill>
    </dxf>
    <dxf>
      <border>
        <top/>
      </border>
    </dxf>
    <dxf>
      <border>
        <bottom style="thin">
          <color rgb="FF969696"/>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ndense val="0"/>
        <extend val="0"/>
      </font>
      <fill>
        <patternFill>
          <bgColor theme="0"/>
        </patternFill>
      </fill>
    </dxf>
    <dxf>
      <font>
        <b/>
        <i val="0"/>
        <condense val="0"/>
        <extend val="0"/>
      </font>
    </dxf>
    <dxf>
      <font>
        <b/>
        <i/>
        <color auto="1"/>
      </font>
      <fill>
        <patternFill>
          <bgColor rgb="FFD8BABB"/>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theme="0"/>
        </patternFill>
      </fill>
    </dxf>
    <dxf>
      <font>
        <b/>
        <i val="0"/>
        <condense val="0"/>
        <extend val="0"/>
        <color indexed="10"/>
      </font>
      <fill>
        <patternFill>
          <bgColor theme="0"/>
        </patternFill>
      </fill>
    </dxf>
    <dxf>
      <font>
        <b val="0"/>
        <i/>
        <condense val="0"/>
        <extend val="0"/>
        <color indexed="10"/>
      </font>
      <fill>
        <patternFill>
          <bgColor rgb="FFDBD2C2"/>
        </patternFill>
      </fill>
    </dxf>
    <dxf>
      <font>
        <b/>
        <i val="0"/>
        <condense val="0"/>
        <extend val="0"/>
        <color indexed="10"/>
      </font>
      <fill>
        <patternFill>
          <bgColor rgb="FFDBD2C2"/>
        </patternFill>
      </fill>
    </dxf>
    <dxf>
      <font>
        <b/>
        <i val="0"/>
        <condense val="0"/>
        <extend val="0"/>
        <color indexed="10"/>
      </font>
      <fill>
        <patternFill>
          <bgColor theme="0"/>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ill>
        <patternFill patternType="solid">
          <bgColor indexed="22"/>
        </patternFill>
      </fill>
    </dxf>
    <dxf>
      <fill>
        <patternFill>
          <bgColor rgb="FFDBD2C2"/>
        </patternFill>
      </fill>
    </dxf>
    <dxf>
      <font>
        <b/>
        <i val="0"/>
        <color auto="1"/>
      </font>
      <fill>
        <patternFill>
          <bgColor rgb="FFD8BABB"/>
        </patternFill>
      </fill>
    </dxf>
    <dxf>
      <fill>
        <patternFill patternType="solid">
          <bgColor indexed="22"/>
        </patternFill>
      </fill>
    </dxf>
    <dxf>
      <font>
        <b/>
        <i/>
        <color auto="1"/>
      </font>
      <fill>
        <patternFill>
          <bgColor rgb="FFD8BABB"/>
        </patternFill>
      </fill>
    </dxf>
    <dxf>
      <font>
        <b/>
        <i val="0"/>
        <condense val="0"/>
        <extend val="0"/>
        <color indexed="10"/>
      </font>
    </dxf>
    <dxf>
      <font>
        <b/>
        <i val="0"/>
        <condense val="0"/>
        <extend val="0"/>
      </font>
    </dxf>
    <dxf>
      <font>
        <b/>
        <i val="0"/>
        <condense val="0"/>
        <extend val="0"/>
        <color auto="1"/>
      </font>
    </dxf>
    <dxf>
      <font>
        <color theme="0"/>
      </font>
      <fill>
        <patternFill>
          <bgColor theme="0"/>
        </patternFill>
      </fill>
    </dxf>
    <dxf>
      <fill>
        <patternFill patternType="solid">
          <bgColor indexed="9"/>
        </patternFill>
      </fill>
      <border>
        <left/>
        <right/>
      </border>
    </dxf>
    <dxf>
      <font>
        <b val="0"/>
        <i/>
        <color rgb="FFFF0000"/>
      </font>
      <fill>
        <patternFill>
          <bgColor theme="0"/>
        </patternFill>
      </fill>
    </dxf>
    <dxf>
      <font>
        <b/>
        <i/>
        <color indexed="10"/>
      </font>
      <fill>
        <patternFill>
          <bgColor theme="0"/>
        </patternFill>
      </fill>
    </dxf>
    <dxf>
      <font>
        <b/>
        <i val="0"/>
        <condense val="0"/>
        <extend val="0"/>
      </font>
    </dxf>
  </dxfs>
  <tableStyles count="0" defaultTableStyle="TableStyleMedium9" defaultPivotStyle="PivotStyleLight16"/>
  <colors>
    <mruColors>
      <color rgb="FF969696"/>
      <color rgb="FFDBD2C2"/>
      <color rgb="FFFFCC99"/>
      <color rgb="FF999FA7"/>
      <color rgb="FFE2AF83"/>
      <color rgb="FFD8BABB"/>
      <color rgb="FFF2984A"/>
      <color rgb="FF002E5D"/>
      <color rgb="FFC7CBCE"/>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elp!A1"/><Relationship Id="rId6" Type="http://schemas.openxmlformats.org/officeDocument/2006/relationships/image" Target="../media/image3.png"/><Relationship Id="rId5" Type="http://schemas.openxmlformats.org/officeDocument/2006/relationships/hyperlink" Target="https://creativecommons.org/" TargetMode="External"/><Relationship Id="rId4" Type="http://schemas.openxmlformats.org/officeDocument/2006/relationships/hyperlink" Target="https://www.abcb.gov.a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creenshot3"/><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hyperlink" Target="#Calculator!B26"/></Relationships>
</file>

<file path=xl/drawings/drawing1.xml><?xml version="1.0" encoding="utf-8"?>
<xdr:wsDr xmlns:xdr="http://schemas.openxmlformats.org/drawingml/2006/spreadsheetDrawing" xmlns:a="http://schemas.openxmlformats.org/drawingml/2006/main">
  <xdr:twoCellAnchor>
    <xdr:from>
      <xdr:col>18</xdr:col>
      <xdr:colOff>52006</xdr:colOff>
      <xdr:row>25</xdr:row>
      <xdr:rowOff>22412</xdr:rowOff>
    </xdr:from>
    <xdr:to>
      <xdr:col>25</xdr:col>
      <xdr:colOff>24264</xdr:colOff>
      <xdr:row>26</xdr:row>
      <xdr:rowOff>12370</xdr:rowOff>
    </xdr:to>
    <xdr:sp macro="" textlink="BB26">
      <xdr:nvSpPr>
        <xdr:cNvPr id="3925" name="Text Box 853">
          <a:extLst>
            <a:ext uri="{FF2B5EF4-FFF2-40B4-BE49-F238E27FC236}">
              <a16:creationId xmlns:a16="http://schemas.microsoft.com/office/drawing/2014/main" id="{00000000-0008-0000-0000-0000550F0000}"/>
            </a:ext>
          </a:extLst>
        </xdr:cNvPr>
        <xdr:cNvSpPr txBox="1">
          <a:spLocks noChangeArrowheads="1" noTextEdit="1"/>
        </xdr:cNvSpPr>
      </xdr:nvSpPr>
      <xdr:spPr bwMode="auto">
        <a:xfrm>
          <a:off x="18411789" y="9563977"/>
          <a:ext cx="7509432" cy="2273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10447</xdr:colOff>
      <xdr:row>19</xdr:row>
      <xdr:rowOff>6412</xdr:rowOff>
    </xdr:from>
    <xdr:to>
      <xdr:col>25</xdr:col>
      <xdr:colOff>14306</xdr:colOff>
      <xdr:row>20</xdr:row>
      <xdr:rowOff>6412</xdr:rowOff>
    </xdr:to>
    <xdr:sp macro="" textlink="BB20">
      <xdr:nvSpPr>
        <xdr:cNvPr id="3930" name="Text Box 858">
          <a:extLst>
            <a:ext uri="{FF2B5EF4-FFF2-40B4-BE49-F238E27FC236}">
              <a16:creationId xmlns:a16="http://schemas.microsoft.com/office/drawing/2014/main" id="{00000000-0008-0000-0000-00005A0F0000}"/>
            </a:ext>
          </a:extLst>
        </xdr:cNvPr>
        <xdr:cNvSpPr txBox="1">
          <a:spLocks noChangeArrowheads="1" noTextEdit="1"/>
        </xdr:cNvSpPr>
      </xdr:nvSpPr>
      <xdr:spPr bwMode="auto">
        <a:xfrm>
          <a:off x="18388094" y="8164294"/>
          <a:ext cx="7567830" cy="235324"/>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27730</xdr:colOff>
      <xdr:row>20</xdr:row>
      <xdr:rowOff>25587</xdr:rowOff>
    </xdr:from>
    <xdr:to>
      <xdr:col>24</xdr:col>
      <xdr:colOff>1344706</xdr:colOff>
      <xdr:row>21</xdr:row>
      <xdr:rowOff>0</xdr:rowOff>
    </xdr:to>
    <xdr:sp macro="" textlink="BB21">
      <xdr:nvSpPr>
        <xdr:cNvPr id="3931" name="Text Box 859">
          <a:extLst>
            <a:ext uri="{FF2B5EF4-FFF2-40B4-BE49-F238E27FC236}">
              <a16:creationId xmlns:a16="http://schemas.microsoft.com/office/drawing/2014/main" id="{00000000-0008-0000-0000-00005B0F0000}"/>
            </a:ext>
          </a:extLst>
        </xdr:cNvPr>
        <xdr:cNvSpPr txBox="1">
          <a:spLocks noChangeArrowheads="1" noTextEdit="1"/>
        </xdr:cNvSpPr>
      </xdr:nvSpPr>
      <xdr:spPr bwMode="auto">
        <a:xfrm>
          <a:off x="18405377" y="8418793"/>
          <a:ext cx="7513829" cy="209736"/>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19039</xdr:colOff>
      <xdr:row>21</xdr:row>
      <xdr:rowOff>37110</xdr:rowOff>
    </xdr:from>
    <xdr:to>
      <xdr:col>24</xdr:col>
      <xdr:colOff>1362766</xdr:colOff>
      <xdr:row>21</xdr:row>
      <xdr:rowOff>210292</xdr:rowOff>
    </xdr:to>
    <xdr:sp macro="" textlink="BB22">
      <xdr:nvSpPr>
        <xdr:cNvPr id="3932" name="Text Box 860">
          <a:extLst>
            <a:ext uri="{FF2B5EF4-FFF2-40B4-BE49-F238E27FC236}">
              <a16:creationId xmlns:a16="http://schemas.microsoft.com/office/drawing/2014/main" id="{00000000-0008-0000-0000-00005C0F0000}"/>
            </a:ext>
          </a:extLst>
        </xdr:cNvPr>
        <xdr:cNvSpPr txBox="1">
          <a:spLocks noChangeArrowheads="1" noTextEdit="1"/>
        </xdr:cNvSpPr>
      </xdr:nvSpPr>
      <xdr:spPr bwMode="auto">
        <a:xfrm>
          <a:off x="18396686" y="8665639"/>
          <a:ext cx="7540580" cy="173182"/>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21</xdr:row>
      <xdr:rowOff>152400</xdr:rowOff>
    </xdr:from>
    <xdr:to>
      <xdr:col>24</xdr:col>
      <xdr:colOff>1293018</xdr:colOff>
      <xdr:row>22</xdr:row>
      <xdr:rowOff>195068</xdr:rowOff>
    </xdr:to>
    <xdr:sp macro="" textlink="BB23">
      <xdr:nvSpPr>
        <xdr:cNvPr id="3933" name="Text Box 861">
          <a:extLst>
            <a:ext uri="{FF2B5EF4-FFF2-40B4-BE49-F238E27FC236}">
              <a16:creationId xmlns:a16="http://schemas.microsoft.com/office/drawing/2014/main" id="{00000000-0008-0000-0000-00005D0F0000}"/>
            </a:ext>
          </a:extLst>
        </xdr:cNvPr>
        <xdr:cNvSpPr txBox="1">
          <a:spLocks noChangeArrowheads="1" noTextEdit="1"/>
        </xdr:cNvSpPr>
      </xdr:nvSpPr>
      <xdr:spPr bwMode="auto">
        <a:xfrm>
          <a:off x="17635620" y="7848600"/>
          <a:ext cx="7177798" cy="283968"/>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23</xdr:row>
      <xdr:rowOff>0</xdr:rowOff>
    </xdr:from>
    <xdr:to>
      <xdr:col>24</xdr:col>
      <xdr:colOff>1654968</xdr:colOff>
      <xdr:row>24</xdr:row>
      <xdr:rowOff>42668</xdr:rowOff>
    </xdr:to>
    <xdr:sp macro="" textlink="BB24">
      <xdr:nvSpPr>
        <xdr:cNvPr id="3935" name="Text Box 863">
          <a:extLst>
            <a:ext uri="{FF2B5EF4-FFF2-40B4-BE49-F238E27FC236}">
              <a16:creationId xmlns:a16="http://schemas.microsoft.com/office/drawing/2014/main" id="{00000000-0008-0000-0000-00005F0F0000}"/>
            </a:ext>
          </a:extLst>
        </xdr:cNvPr>
        <xdr:cNvSpPr txBox="1">
          <a:spLocks noChangeArrowheads="1" noTextEdit="1"/>
        </xdr:cNvSpPr>
      </xdr:nvSpPr>
      <xdr:spPr bwMode="auto">
        <a:xfrm>
          <a:off x="11951576" y="8191500"/>
          <a:ext cx="5883986" cy="280793"/>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24</xdr:row>
      <xdr:rowOff>0</xdr:rowOff>
    </xdr:from>
    <xdr:to>
      <xdr:col>24</xdr:col>
      <xdr:colOff>1654968</xdr:colOff>
      <xdr:row>25</xdr:row>
      <xdr:rowOff>42668</xdr:rowOff>
    </xdr:to>
    <xdr:sp macro="" textlink="BB25">
      <xdr:nvSpPr>
        <xdr:cNvPr id="3936" name="Text Box 864">
          <a:extLst>
            <a:ext uri="{FF2B5EF4-FFF2-40B4-BE49-F238E27FC236}">
              <a16:creationId xmlns:a16="http://schemas.microsoft.com/office/drawing/2014/main" id="{00000000-0008-0000-00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26</xdr:row>
      <xdr:rowOff>0</xdr:rowOff>
    </xdr:from>
    <xdr:to>
      <xdr:col>24</xdr:col>
      <xdr:colOff>1654968</xdr:colOff>
      <xdr:row>27</xdr:row>
      <xdr:rowOff>42668</xdr:rowOff>
    </xdr:to>
    <xdr:sp macro="" textlink="BB27">
      <xdr:nvSpPr>
        <xdr:cNvPr id="3937" name="Text Box 865">
          <a:extLst>
            <a:ext uri="{FF2B5EF4-FFF2-40B4-BE49-F238E27FC236}">
              <a16:creationId xmlns:a16="http://schemas.microsoft.com/office/drawing/2014/main" id="{00000000-0008-0000-00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0</xdr:rowOff>
    </xdr:from>
    <xdr:to>
      <xdr:col>24</xdr:col>
      <xdr:colOff>1654968</xdr:colOff>
      <xdr:row>27</xdr:row>
      <xdr:rowOff>193650</xdr:rowOff>
    </xdr:to>
    <xdr:sp macro="" textlink="BB28">
      <xdr:nvSpPr>
        <xdr:cNvPr id="3938" name="Text Box 866">
          <a:extLst>
            <a:ext uri="{FF2B5EF4-FFF2-40B4-BE49-F238E27FC236}">
              <a16:creationId xmlns:a16="http://schemas.microsoft.com/office/drawing/2014/main" id="{00000000-0008-0000-00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222663</xdr:rowOff>
    </xdr:from>
    <xdr:to>
      <xdr:col>25</xdr:col>
      <xdr:colOff>3679</xdr:colOff>
      <xdr:row>29</xdr:row>
      <xdr:rowOff>12370</xdr:rowOff>
    </xdr:to>
    <xdr:sp macro="" textlink="BB29">
      <xdr:nvSpPr>
        <xdr:cNvPr id="3939" name="Text Box 867">
          <a:extLst>
            <a:ext uri="{FF2B5EF4-FFF2-40B4-BE49-F238E27FC236}">
              <a16:creationId xmlns:a16="http://schemas.microsoft.com/office/drawing/2014/main" id="{00000000-0008-0000-0000-0000630F0000}"/>
            </a:ext>
          </a:extLst>
        </xdr:cNvPr>
        <xdr:cNvSpPr txBox="1">
          <a:spLocks noChangeArrowheads="1" noTextEdit="1"/>
        </xdr:cNvSpPr>
      </xdr:nvSpPr>
      <xdr:spPr bwMode="auto">
        <a:xfrm>
          <a:off x="17673225" y="9116786"/>
          <a:ext cx="7182045" cy="259772"/>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29</xdr:row>
      <xdr:rowOff>0</xdr:rowOff>
    </xdr:from>
    <xdr:to>
      <xdr:col>24</xdr:col>
      <xdr:colOff>1654968</xdr:colOff>
      <xdr:row>30</xdr:row>
      <xdr:rowOff>42668</xdr:rowOff>
    </xdr:to>
    <xdr:sp macro="" textlink="BB30">
      <xdr:nvSpPr>
        <xdr:cNvPr id="3941" name="Text Box 869">
          <a:extLst>
            <a:ext uri="{FF2B5EF4-FFF2-40B4-BE49-F238E27FC236}">
              <a16:creationId xmlns:a16="http://schemas.microsoft.com/office/drawing/2014/main" id="{00000000-0008-0000-00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30</xdr:row>
      <xdr:rowOff>0</xdr:rowOff>
    </xdr:from>
    <xdr:to>
      <xdr:col>24</xdr:col>
      <xdr:colOff>1654968</xdr:colOff>
      <xdr:row>31</xdr:row>
      <xdr:rowOff>42668</xdr:rowOff>
    </xdr:to>
    <xdr:sp macro="" textlink="BB31">
      <xdr:nvSpPr>
        <xdr:cNvPr id="3942" name="Text Box 870">
          <a:extLst>
            <a:ext uri="{FF2B5EF4-FFF2-40B4-BE49-F238E27FC236}">
              <a16:creationId xmlns:a16="http://schemas.microsoft.com/office/drawing/2014/main" id="{00000000-0008-0000-00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17</xdr:col>
      <xdr:colOff>922420</xdr:colOff>
      <xdr:row>31</xdr:row>
      <xdr:rowOff>0</xdr:rowOff>
    </xdr:from>
    <xdr:to>
      <xdr:col>24</xdr:col>
      <xdr:colOff>1305718</xdr:colOff>
      <xdr:row>32</xdr:row>
      <xdr:rowOff>42668</xdr:rowOff>
    </xdr:to>
    <xdr:sp macro="" textlink="BB32">
      <xdr:nvSpPr>
        <xdr:cNvPr id="3943" name="Text Box 871">
          <a:extLst>
            <a:ext uri="{FF2B5EF4-FFF2-40B4-BE49-F238E27FC236}">
              <a16:creationId xmlns:a16="http://schemas.microsoft.com/office/drawing/2014/main" id="{00000000-0008-0000-0000-0000670F0000}"/>
            </a:ext>
          </a:extLst>
        </xdr:cNvPr>
        <xdr:cNvSpPr txBox="1">
          <a:spLocks noChangeArrowheads="1" noTextEdit="1"/>
        </xdr:cNvSpPr>
      </xdr:nvSpPr>
      <xdr:spPr bwMode="auto">
        <a:xfrm>
          <a:off x="18355287" y="10871200"/>
          <a:ext cx="7512231" cy="271268"/>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32</xdr:row>
      <xdr:rowOff>0</xdr:rowOff>
    </xdr:from>
    <xdr:to>
      <xdr:col>24</xdr:col>
      <xdr:colOff>1654968</xdr:colOff>
      <xdr:row>33</xdr:row>
      <xdr:rowOff>42668</xdr:rowOff>
    </xdr:to>
    <xdr:sp macro="" textlink="BB33">
      <xdr:nvSpPr>
        <xdr:cNvPr id="3944" name="Text Box 872">
          <a:extLst>
            <a:ext uri="{FF2B5EF4-FFF2-40B4-BE49-F238E27FC236}">
              <a16:creationId xmlns:a16="http://schemas.microsoft.com/office/drawing/2014/main" id="{00000000-0008-0000-00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33</xdr:row>
      <xdr:rowOff>0</xdr:rowOff>
    </xdr:from>
    <xdr:to>
      <xdr:col>24</xdr:col>
      <xdr:colOff>1654968</xdr:colOff>
      <xdr:row>34</xdr:row>
      <xdr:rowOff>42668</xdr:rowOff>
    </xdr:to>
    <xdr:sp macro="" textlink="BB34">
      <xdr:nvSpPr>
        <xdr:cNvPr id="3945" name="Text Box 873">
          <a:extLst>
            <a:ext uri="{FF2B5EF4-FFF2-40B4-BE49-F238E27FC236}">
              <a16:creationId xmlns:a16="http://schemas.microsoft.com/office/drawing/2014/main" id="{00000000-0008-0000-00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34</xdr:row>
      <xdr:rowOff>0</xdr:rowOff>
    </xdr:from>
    <xdr:to>
      <xdr:col>24</xdr:col>
      <xdr:colOff>1654968</xdr:colOff>
      <xdr:row>34</xdr:row>
      <xdr:rowOff>193650</xdr:rowOff>
    </xdr:to>
    <xdr:sp macro="" textlink="BB35">
      <xdr:nvSpPr>
        <xdr:cNvPr id="3946" name="Text Box 874">
          <a:extLst>
            <a:ext uri="{FF2B5EF4-FFF2-40B4-BE49-F238E27FC236}">
              <a16:creationId xmlns:a16="http://schemas.microsoft.com/office/drawing/2014/main" id="{00000000-0008-0000-00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35</xdr:row>
      <xdr:rowOff>0</xdr:rowOff>
    </xdr:from>
    <xdr:to>
      <xdr:col>25</xdr:col>
      <xdr:colOff>3679</xdr:colOff>
      <xdr:row>36</xdr:row>
      <xdr:rowOff>1</xdr:rowOff>
    </xdr:to>
    <xdr:sp macro="" textlink="BB36">
      <xdr:nvSpPr>
        <xdr:cNvPr id="3947" name="Text Box 875">
          <a:extLst>
            <a:ext uri="{FF2B5EF4-FFF2-40B4-BE49-F238E27FC236}">
              <a16:creationId xmlns:a16="http://schemas.microsoft.com/office/drawing/2014/main" id="{00000000-0008-0000-0000-00006B0F0000}"/>
            </a:ext>
          </a:extLst>
        </xdr:cNvPr>
        <xdr:cNvSpPr txBox="1">
          <a:spLocks noChangeArrowheads="1" noTextEdit="1"/>
        </xdr:cNvSpPr>
      </xdr:nvSpPr>
      <xdr:spPr bwMode="auto">
        <a:xfrm>
          <a:off x="17673225" y="10774383"/>
          <a:ext cx="7182045" cy="235034"/>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36</xdr:row>
      <xdr:rowOff>0</xdr:rowOff>
    </xdr:from>
    <xdr:to>
      <xdr:col>24</xdr:col>
      <xdr:colOff>1654968</xdr:colOff>
      <xdr:row>37</xdr:row>
      <xdr:rowOff>42668</xdr:rowOff>
    </xdr:to>
    <xdr:sp macro="" textlink="BB37">
      <xdr:nvSpPr>
        <xdr:cNvPr id="3948" name="Text Box 876">
          <a:extLst>
            <a:ext uri="{FF2B5EF4-FFF2-40B4-BE49-F238E27FC236}">
              <a16:creationId xmlns:a16="http://schemas.microsoft.com/office/drawing/2014/main" id="{00000000-0008-0000-00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37</xdr:row>
      <xdr:rowOff>0</xdr:rowOff>
    </xdr:from>
    <xdr:to>
      <xdr:col>24</xdr:col>
      <xdr:colOff>1654968</xdr:colOff>
      <xdr:row>38</xdr:row>
      <xdr:rowOff>42668</xdr:rowOff>
    </xdr:to>
    <xdr:sp macro="" textlink="BB38">
      <xdr:nvSpPr>
        <xdr:cNvPr id="3949" name="Text Box 877">
          <a:extLst>
            <a:ext uri="{FF2B5EF4-FFF2-40B4-BE49-F238E27FC236}">
              <a16:creationId xmlns:a16="http://schemas.microsoft.com/office/drawing/2014/main" id="{00000000-0008-0000-00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38</xdr:row>
      <xdr:rowOff>0</xdr:rowOff>
    </xdr:from>
    <xdr:to>
      <xdr:col>24</xdr:col>
      <xdr:colOff>1654968</xdr:colOff>
      <xdr:row>39</xdr:row>
      <xdr:rowOff>42668</xdr:rowOff>
    </xdr:to>
    <xdr:sp macro="" textlink="BB39">
      <xdr:nvSpPr>
        <xdr:cNvPr id="3950" name="Text Box 878">
          <a:extLst>
            <a:ext uri="{FF2B5EF4-FFF2-40B4-BE49-F238E27FC236}">
              <a16:creationId xmlns:a16="http://schemas.microsoft.com/office/drawing/2014/main" id="{00000000-0008-0000-00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39</xdr:row>
      <xdr:rowOff>0</xdr:rowOff>
    </xdr:from>
    <xdr:to>
      <xdr:col>24</xdr:col>
      <xdr:colOff>1654968</xdr:colOff>
      <xdr:row>40</xdr:row>
      <xdr:rowOff>42668</xdr:rowOff>
    </xdr:to>
    <xdr:sp macro="" textlink="BB40">
      <xdr:nvSpPr>
        <xdr:cNvPr id="3951" name="Text Box 879">
          <a:extLst>
            <a:ext uri="{FF2B5EF4-FFF2-40B4-BE49-F238E27FC236}">
              <a16:creationId xmlns:a16="http://schemas.microsoft.com/office/drawing/2014/main" id="{00000000-0008-0000-00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40</xdr:row>
      <xdr:rowOff>0</xdr:rowOff>
    </xdr:from>
    <xdr:to>
      <xdr:col>24</xdr:col>
      <xdr:colOff>1654968</xdr:colOff>
      <xdr:row>41</xdr:row>
      <xdr:rowOff>42668</xdr:rowOff>
    </xdr:to>
    <xdr:sp macro="" textlink="BB41">
      <xdr:nvSpPr>
        <xdr:cNvPr id="3952" name="Text Box 880">
          <a:extLst>
            <a:ext uri="{FF2B5EF4-FFF2-40B4-BE49-F238E27FC236}">
              <a16:creationId xmlns:a16="http://schemas.microsoft.com/office/drawing/2014/main" id="{00000000-0008-0000-00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0</xdr:rowOff>
    </xdr:from>
    <xdr:to>
      <xdr:col>24</xdr:col>
      <xdr:colOff>1654968</xdr:colOff>
      <xdr:row>41</xdr:row>
      <xdr:rowOff>193650</xdr:rowOff>
    </xdr:to>
    <xdr:sp macro="" textlink="BB42">
      <xdr:nvSpPr>
        <xdr:cNvPr id="3953" name="Text Box 881">
          <a:extLst>
            <a:ext uri="{FF2B5EF4-FFF2-40B4-BE49-F238E27FC236}">
              <a16:creationId xmlns:a16="http://schemas.microsoft.com/office/drawing/2014/main" id="{00000000-0008-0000-0000-0000710F0000}"/>
            </a:ext>
          </a:extLst>
        </xdr:cNvPr>
        <xdr:cNvSpPr txBox="1">
          <a:spLocks noChangeArrowheads="1" noTextEdit="1"/>
        </xdr:cNvSpPr>
      </xdr:nvSpPr>
      <xdr:spPr bwMode="auto">
        <a:xfrm>
          <a:off x="11951576" y="12477750"/>
          <a:ext cx="5883986"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222662</xdr:rowOff>
    </xdr:from>
    <xdr:to>
      <xdr:col>25</xdr:col>
      <xdr:colOff>3679</xdr:colOff>
      <xdr:row>43</xdr:row>
      <xdr:rowOff>1</xdr:rowOff>
    </xdr:to>
    <xdr:sp macro="" textlink="BB43">
      <xdr:nvSpPr>
        <xdr:cNvPr id="3954" name="Text Box 882">
          <a:extLst>
            <a:ext uri="{FF2B5EF4-FFF2-40B4-BE49-F238E27FC236}">
              <a16:creationId xmlns:a16="http://schemas.microsoft.com/office/drawing/2014/main" id="{00000000-0008-0000-0000-0000720F0000}"/>
            </a:ext>
          </a:extLst>
        </xdr:cNvPr>
        <xdr:cNvSpPr txBox="1">
          <a:spLocks noChangeArrowheads="1" noTextEdit="1"/>
        </xdr:cNvSpPr>
      </xdr:nvSpPr>
      <xdr:spPr bwMode="auto">
        <a:xfrm>
          <a:off x="17673225" y="12407240"/>
          <a:ext cx="7182045" cy="247404"/>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43</xdr:row>
      <xdr:rowOff>0</xdr:rowOff>
    </xdr:from>
    <xdr:to>
      <xdr:col>24</xdr:col>
      <xdr:colOff>1654968</xdr:colOff>
      <xdr:row>44</xdr:row>
      <xdr:rowOff>42668</xdr:rowOff>
    </xdr:to>
    <xdr:sp macro="" textlink="BB44">
      <xdr:nvSpPr>
        <xdr:cNvPr id="3955" name="Text Box 883">
          <a:extLst>
            <a:ext uri="{FF2B5EF4-FFF2-40B4-BE49-F238E27FC236}">
              <a16:creationId xmlns:a16="http://schemas.microsoft.com/office/drawing/2014/main" id="{00000000-0008-0000-00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44</xdr:row>
      <xdr:rowOff>0</xdr:rowOff>
    </xdr:from>
    <xdr:to>
      <xdr:col>24</xdr:col>
      <xdr:colOff>1654968</xdr:colOff>
      <xdr:row>45</xdr:row>
      <xdr:rowOff>42668</xdr:rowOff>
    </xdr:to>
    <xdr:sp macro="" textlink="BB45">
      <xdr:nvSpPr>
        <xdr:cNvPr id="3956" name="Text Box 884">
          <a:extLst>
            <a:ext uri="{FF2B5EF4-FFF2-40B4-BE49-F238E27FC236}">
              <a16:creationId xmlns:a16="http://schemas.microsoft.com/office/drawing/2014/main" id="{00000000-0008-0000-00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45</xdr:row>
      <xdr:rowOff>0</xdr:rowOff>
    </xdr:from>
    <xdr:to>
      <xdr:col>24</xdr:col>
      <xdr:colOff>1654968</xdr:colOff>
      <xdr:row>46</xdr:row>
      <xdr:rowOff>42668</xdr:rowOff>
    </xdr:to>
    <xdr:sp macro="" textlink="BB46">
      <xdr:nvSpPr>
        <xdr:cNvPr id="3957" name="Text Box 885">
          <a:extLst>
            <a:ext uri="{FF2B5EF4-FFF2-40B4-BE49-F238E27FC236}">
              <a16:creationId xmlns:a16="http://schemas.microsoft.com/office/drawing/2014/main" id="{00000000-0008-0000-00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46</xdr:row>
      <xdr:rowOff>0</xdr:rowOff>
    </xdr:from>
    <xdr:to>
      <xdr:col>24</xdr:col>
      <xdr:colOff>1654968</xdr:colOff>
      <xdr:row>47</xdr:row>
      <xdr:rowOff>42668</xdr:rowOff>
    </xdr:to>
    <xdr:sp macro="" textlink="BB47">
      <xdr:nvSpPr>
        <xdr:cNvPr id="3958" name="Text Box 886">
          <a:extLst>
            <a:ext uri="{FF2B5EF4-FFF2-40B4-BE49-F238E27FC236}">
              <a16:creationId xmlns:a16="http://schemas.microsoft.com/office/drawing/2014/main" id="{00000000-0008-0000-00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47</xdr:row>
      <xdr:rowOff>0</xdr:rowOff>
    </xdr:from>
    <xdr:to>
      <xdr:col>24</xdr:col>
      <xdr:colOff>1654968</xdr:colOff>
      <xdr:row>48</xdr:row>
      <xdr:rowOff>42668</xdr:rowOff>
    </xdr:to>
    <xdr:sp macro="" textlink="BB48">
      <xdr:nvSpPr>
        <xdr:cNvPr id="3959" name="Text Box 887">
          <a:extLst>
            <a:ext uri="{FF2B5EF4-FFF2-40B4-BE49-F238E27FC236}">
              <a16:creationId xmlns:a16="http://schemas.microsoft.com/office/drawing/2014/main" id="{00000000-0008-0000-00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48</xdr:row>
      <xdr:rowOff>0</xdr:rowOff>
    </xdr:from>
    <xdr:to>
      <xdr:col>24</xdr:col>
      <xdr:colOff>1654968</xdr:colOff>
      <xdr:row>49</xdr:row>
      <xdr:rowOff>42668</xdr:rowOff>
    </xdr:to>
    <xdr:sp macro="" textlink="BB49">
      <xdr:nvSpPr>
        <xdr:cNvPr id="3960" name="Text Box 888">
          <a:extLst>
            <a:ext uri="{FF2B5EF4-FFF2-40B4-BE49-F238E27FC236}">
              <a16:creationId xmlns:a16="http://schemas.microsoft.com/office/drawing/2014/main" id="{00000000-0008-0000-00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0</xdr:rowOff>
    </xdr:from>
    <xdr:to>
      <xdr:col>24</xdr:col>
      <xdr:colOff>1654968</xdr:colOff>
      <xdr:row>49</xdr:row>
      <xdr:rowOff>193650</xdr:rowOff>
    </xdr:to>
    <xdr:sp macro="" textlink="BB50">
      <xdr:nvSpPr>
        <xdr:cNvPr id="3961" name="Text Box 889">
          <a:extLst>
            <a:ext uri="{FF2B5EF4-FFF2-40B4-BE49-F238E27FC236}">
              <a16:creationId xmlns:a16="http://schemas.microsoft.com/office/drawing/2014/main" id="{00000000-0008-0000-00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222661</xdr:rowOff>
    </xdr:from>
    <xdr:to>
      <xdr:col>25</xdr:col>
      <xdr:colOff>3679</xdr:colOff>
      <xdr:row>50</xdr:row>
      <xdr:rowOff>247402</xdr:rowOff>
    </xdr:to>
    <xdr:sp macro="" textlink="BB51">
      <xdr:nvSpPr>
        <xdr:cNvPr id="3962" name="Text Box 890">
          <a:extLst>
            <a:ext uri="{FF2B5EF4-FFF2-40B4-BE49-F238E27FC236}">
              <a16:creationId xmlns:a16="http://schemas.microsoft.com/office/drawing/2014/main" id="{00000000-0008-0000-0000-00007A0F0000}"/>
            </a:ext>
          </a:extLst>
        </xdr:cNvPr>
        <xdr:cNvSpPr txBox="1">
          <a:spLocks noChangeArrowheads="1" noTextEdit="1"/>
        </xdr:cNvSpPr>
      </xdr:nvSpPr>
      <xdr:spPr bwMode="auto">
        <a:xfrm>
          <a:off x="17673225" y="14287499"/>
          <a:ext cx="7182045" cy="259773"/>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51</xdr:row>
      <xdr:rowOff>0</xdr:rowOff>
    </xdr:from>
    <xdr:to>
      <xdr:col>24</xdr:col>
      <xdr:colOff>1654968</xdr:colOff>
      <xdr:row>52</xdr:row>
      <xdr:rowOff>42668</xdr:rowOff>
    </xdr:to>
    <xdr:sp macro="" textlink="BB52">
      <xdr:nvSpPr>
        <xdr:cNvPr id="3963" name="Text Box 891">
          <a:extLst>
            <a:ext uri="{FF2B5EF4-FFF2-40B4-BE49-F238E27FC236}">
              <a16:creationId xmlns:a16="http://schemas.microsoft.com/office/drawing/2014/main" id="{00000000-0008-0000-00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52</xdr:row>
      <xdr:rowOff>0</xdr:rowOff>
    </xdr:from>
    <xdr:to>
      <xdr:col>24</xdr:col>
      <xdr:colOff>1654968</xdr:colOff>
      <xdr:row>53</xdr:row>
      <xdr:rowOff>42668</xdr:rowOff>
    </xdr:to>
    <xdr:sp macro="" textlink="BB53">
      <xdr:nvSpPr>
        <xdr:cNvPr id="3964" name="Text Box 892">
          <a:extLst>
            <a:ext uri="{FF2B5EF4-FFF2-40B4-BE49-F238E27FC236}">
              <a16:creationId xmlns:a16="http://schemas.microsoft.com/office/drawing/2014/main" id="{00000000-0008-0000-00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53</xdr:row>
      <xdr:rowOff>0</xdr:rowOff>
    </xdr:from>
    <xdr:to>
      <xdr:col>24</xdr:col>
      <xdr:colOff>1654968</xdr:colOff>
      <xdr:row>54</xdr:row>
      <xdr:rowOff>42668</xdr:rowOff>
    </xdr:to>
    <xdr:sp macro="" textlink="BB54">
      <xdr:nvSpPr>
        <xdr:cNvPr id="3965" name="Text Box 893">
          <a:extLst>
            <a:ext uri="{FF2B5EF4-FFF2-40B4-BE49-F238E27FC236}">
              <a16:creationId xmlns:a16="http://schemas.microsoft.com/office/drawing/2014/main" id="{00000000-0008-0000-00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54</xdr:row>
      <xdr:rowOff>0</xdr:rowOff>
    </xdr:from>
    <xdr:to>
      <xdr:col>24</xdr:col>
      <xdr:colOff>1654968</xdr:colOff>
      <xdr:row>55</xdr:row>
      <xdr:rowOff>42668</xdr:rowOff>
    </xdr:to>
    <xdr:sp macro="" textlink="BB55">
      <xdr:nvSpPr>
        <xdr:cNvPr id="3966" name="Text Box 894">
          <a:extLst>
            <a:ext uri="{FF2B5EF4-FFF2-40B4-BE49-F238E27FC236}">
              <a16:creationId xmlns:a16="http://schemas.microsoft.com/office/drawing/2014/main" id="{00000000-0008-0000-00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55</xdr:row>
      <xdr:rowOff>0</xdr:rowOff>
    </xdr:from>
    <xdr:to>
      <xdr:col>24</xdr:col>
      <xdr:colOff>1654968</xdr:colOff>
      <xdr:row>56</xdr:row>
      <xdr:rowOff>42668</xdr:rowOff>
    </xdr:to>
    <xdr:sp macro="" textlink="BB56">
      <xdr:nvSpPr>
        <xdr:cNvPr id="3967" name="Text Box 895">
          <a:extLst>
            <a:ext uri="{FF2B5EF4-FFF2-40B4-BE49-F238E27FC236}">
              <a16:creationId xmlns:a16="http://schemas.microsoft.com/office/drawing/2014/main" id="{00000000-0008-0000-00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56</xdr:row>
      <xdr:rowOff>0</xdr:rowOff>
    </xdr:from>
    <xdr:to>
      <xdr:col>24</xdr:col>
      <xdr:colOff>1654968</xdr:colOff>
      <xdr:row>56</xdr:row>
      <xdr:rowOff>193650</xdr:rowOff>
    </xdr:to>
    <xdr:sp macro="" textlink="BB57">
      <xdr:nvSpPr>
        <xdr:cNvPr id="3968" name="Text Box 896">
          <a:extLst>
            <a:ext uri="{FF2B5EF4-FFF2-40B4-BE49-F238E27FC236}">
              <a16:creationId xmlns:a16="http://schemas.microsoft.com/office/drawing/2014/main" id="{00000000-0008-0000-00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98</xdr:row>
      <xdr:rowOff>0</xdr:rowOff>
    </xdr:from>
    <xdr:to>
      <xdr:col>24</xdr:col>
      <xdr:colOff>1654968</xdr:colOff>
      <xdr:row>98</xdr:row>
      <xdr:rowOff>190939</xdr:rowOff>
    </xdr:to>
    <xdr:sp macro="" textlink="BB99">
      <xdr:nvSpPr>
        <xdr:cNvPr id="3971" name="Text Box 899">
          <a:extLst>
            <a:ext uri="{FF2B5EF4-FFF2-40B4-BE49-F238E27FC236}">
              <a16:creationId xmlns:a16="http://schemas.microsoft.com/office/drawing/2014/main" id="{00000000-0008-0000-0000-0000830F0000}"/>
            </a:ext>
          </a:extLst>
        </xdr:cNvPr>
        <xdr:cNvSpPr txBox="1">
          <a:spLocks noChangeArrowheads="1" noTextEdit="1"/>
        </xdr:cNvSpPr>
      </xdr:nvSpPr>
      <xdr:spPr bwMode="auto">
        <a:xfrm>
          <a:off x="11951576" y="26050875"/>
          <a:ext cx="5883986"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118" name="Line 974">
          <a:extLst>
            <a:ext uri="{FF2B5EF4-FFF2-40B4-BE49-F238E27FC236}">
              <a16:creationId xmlns:a16="http://schemas.microsoft.com/office/drawing/2014/main" id="{00000000-0008-0000-00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twoCellAnchor>
    <xdr:from>
      <xdr:col>18</xdr:col>
      <xdr:colOff>33420</xdr:colOff>
      <xdr:row>57</xdr:row>
      <xdr:rowOff>0</xdr:rowOff>
    </xdr:from>
    <xdr:to>
      <xdr:col>24</xdr:col>
      <xdr:colOff>1654968</xdr:colOff>
      <xdr:row>58</xdr:row>
      <xdr:rowOff>47625</xdr:rowOff>
    </xdr:to>
    <xdr:sp macro="" textlink="BB58">
      <xdr:nvSpPr>
        <xdr:cNvPr id="60" name="Text Box 896">
          <a:extLst>
            <a:ext uri="{FF2B5EF4-FFF2-40B4-BE49-F238E27FC236}">
              <a16:creationId xmlns:a16="http://schemas.microsoft.com/office/drawing/2014/main" id="{00000000-0008-0000-00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58</xdr:row>
      <xdr:rowOff>0</xdr:rowOff>
    </xdr:from>
    <xdr:to>
      <xdr:col>24</xdr:col>
      <xdr:colOff>1654968</xdr:colOff>
      <xdr:row>59</xdr:row>
      <xdr:rowOff>47625</xdr:rowOff>
    </xdr:to>
    <xdr:sp macro="" textlink="BB59">
      <xdr:nvSpPr>
        <xdr:cNvPr id="62" name="Text Box 896">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59</xdr:row>
      <xdr:rowOff>0</xdr:rowOff>
    </xdr:from>
    <xdr:to>
      <xdr:col>24</xdr:col>
      <xdr:colOff>1654968</xdr:colOff>
      <xdr:row>60</xdr:row>
      <xdr:rowOff>47625</xdr:rowOff>
    </xdr:to>
    <xdr:sp macro="" textlink="BB60">
      <xdr:nvSpPr>
        <xdr:cNvPr id="65" name="Text Box 896">
          <a:extLst>
            <a:ext uri="{FF2B5EF4-FFF2-40B4-BE49-F238E27FC236}">
              <a16:creationId xmlns:a16="http://schemas.microsoft.com/office/drawing/2014/main" id="{00000000-0008-0000-00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60</xdr:row>
      <xdr:rowOff>0</xdr:rowOff>
    </xdr:from>
    <xdr:to>
      <xdr:col>24</xdr:col>
      <xdr:colOff>1654968</xdr:colOff>
      <xdr:row>61</xdr:row>
      <xdr:rowOff>47625</xdr:rowOff>
    </xdr:to>
    <xdr:sp macro="" textlink="BB61">
      <xdr:nvSpPr>
        <xdr:cNvPr id="68" name="Text Box 896">
          <a:extLst>
            <a:ext uri="{FF2B5EF4-FFF2-40B4-BE49-F238E27FC236}">
              <a16:creationId xmlns:a16="http://schemas.microsoft.com/office/drawing/2014/main" id="{00000000-0008-0000-00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61</xdr:row>
      <xdr:rowOff>0</xdr:rowOff>
    </xdr:from>
    <xdr:to>
      <xdr:col>24</xdr:col>
      <xdr:colOff>1654968</xdr:colOff>
      <xdr:row>62</xdr:row>
      <xdr:rowOff>47625</xdr:rowOff>
    </xdr:to>
    <xdr:sp macro="" textlink="BB62">
      <xdr:nvSpPr>
        <xdr:cNvPr id="71" name="Text Box 896">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62</xdr:row>
      <xdr:rowOff>0</xdr:rowOff>
    </xdr:from>
    <xdr:to>
      <xdr:col>24</xdr:col>
      <xdr:colOff>1654968</xdr:colOff>
      <xdr:row>63</xdr:row>
      <xdr:rowOff>47625</xdr:rowOff>
    </xdr:to>
    <xdr:sp macro="" textlink="BB63">
      <xdr:nvSpPr>
        <xdr:cNvPr id="74" name="Text Box 896">
          <a:extLst>
            <a:ext uri="{FF2B5EF4-FFF2-40B4-BE49-F238E27FC236}">
              <a16:creationId xmlns:a16="http://schemas.microsoft.com/office/drawing/2014/main" id="{00000000-0008-0000-00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63</xdr:row>
      <xdr:rowOff>0</xdr:rowOff>
    </xdr:from>
    <xdr:to>
      <xdr:col>24</xdr:col>
      <xdr:colOff>1654968</xdr:colOff>
      <xdr:row>64</xdr:row>
      <xdr:rowOff>47625</xdr:rowOff>
    </xdr:to>
    <xdr:sp macro="" textlink="BB64">
      <xdr:nvSpPr>
        <xdr:cNvPr id="77" name="Text Box 896">
          <a:extLst>
            <a:ext uri="{FF2B5EF4-FFF2-40B4-BE49-F238E27FC236}">
              <a16:creationId xmlns:a16="http://schemas.microsoft.com/office/drawing/2014/main" id="{00000000-0008-0000-00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64</xdr:row>
      <xdr:rowOff>0</xdr:rowOff>
    </xdr:from>
    <xdr:to>
      <xdr:col>24</xdr:col>
      <xdr:colOff>1654968</xdr:colOff>
      <xdr:row>65</xdr:row>
      <xdr:rowOff>47625</xdr:rowOff>
    </xdr:to>
    <xdr:sp macro="" textlink="BB65">
      <xdr:nvSpPr>
        <xdr:cNvPr id="80" name="Text Box 896">
          <a:extLst>
            <a:ext uri="{FF2B5EF4-FFF2-40B4-BE49-F238E27FC236}">
              <a16:creationId xmlns:a16="http://schemas.microsoft.com/office/drawing/2014/main" id="{00000000-0008-0000-00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65</xdr:row>
      <xdr:rowOff>0</xdr:rowOff>
    </xdr:from>
    <xdr:to>
      <xdr:col>24</xdr:col>
      <xdr:colOff>1654968</xdr:colOff>
      <xdr:row>66</xdr:row>
      <xdr:rowOff>47625</xdr:rowOff>
    </xdr:to>
    <xdr:sp macro="" textlink="BB66">
      <xdr:nvSpPr>
        <xdr:cNvPr id="83" name="Text Box 896">
          <a:extLst>
            <a:ext uri="{FF2B5EF4-FFF2-40B4-BE49-F238E27FC236}">
              <a16:creationId xmlns:a16="http://schemas.microsoft.com/office/drawing/2014/main" id="{00000000-0008-0000-00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66</xdr:row>
      <xdr:rowOff>0</xdr:rowOff>
    </xdr:from>
    <xdr:to>
      <xdr:col>24</xdr:col>
      <xdr:colOff>1654968</xdr:colOff>
      <xdr:row>67</xdr:row>
      <xdr:rowOff>47625</xdr:rowOff>
    </xdr:to>
    <xdr:sp macro="" textlink="BB67">
      <xdr:nvSpPr>
        <xdr:cNvPr id="86" name="Text Box 896">
          <a:extLst>
            <a:ext uri="{FF2B5EF4-FFF2-40B4-BE49-F238E27FC236}">
              <a16:creationId xmlns:a16="http://schemas.microsoft.com/office/drawing/2014/main" id="{00000000-0008-0000-00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67</xdr:row>
      <xdr:rowOff>0</xdr:rowOff>
    </xdr:from>
    <xdr:to>
      <xdr:col>24</xdr:col>
      <xdr:colOff>1654968</xdr:colOff>
      <xdr:row>68</xdr:row>
      <xdr:rowOff>47625</xdr:rowOff>
    </xdr:to>
    <xdr:sp macro="" textlink="BB68">
      <xdr:nvSpPr>
        <xdr:cNvPr id="89" name="Text Box 896">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68</xdr:row>
      <xdr:rowOff>0</xdr:rowOff>
    </xdr:from>
    <xdr:to>
      <xdr:col>24</xdr:col>
      <xdr:colOff>1654968</xdr:colOff>
      <xdr:row>69</xdr:row>
      <xdr:rowOff>47625</xdr:rowOff>
    </xdr:to>
    <xdr:sp macro="" textlink="BB69">
      <xdr:nvSpPr>
        <xdr:cNvPr id="92" name="Text Box 896">
          <a:extLst>
            <a:ext uri="{FF2B5EF4-FFF2-40B4-BE49-F238E27FC236}">
              <a16:creationId xmlns:a16="http://schemas.microsoft.com/office/drawing/2014/main" id="{00000000-0008-0000-00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69</xdr:row>
      <xdr:rowOff>0</xdr:rowOff>
    </xdr:from>
    <xdr:to>
      <xdr:col>24</xdr:col>
      <xdr:colOff>1654968</xdr:colOff>
      <xdr:row>70</xdr:row>
      <xdr:rowOff>47625</xdr:rowOff>
    </xdr:to>
    <xdr:sp macro="" textlink="BB70">
      <xdr:nvSpPr>
        <xdr:cNvPr id="95" name="Text Box 896">
          <a:extLst>
            <a:ext uri="{FF2B5EF4-FFF2-40B4-BE49-F238E27FC236}">
              <a16:creationId xmlns:a16="http://schemas.microsoft.com/office/drawing/2014/main" id="{00000000-0008-0000-00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70</xdr:row>
      <xdr:rowOff>0</xdr:rowOff>
    </xdr:from>
    <xdr:to>
      <xdr:col>24</xdr:col>
      <xdr:colOff>1654968</xdr:colOff>
      <xdr:row>71</xdr:row>
      <xdr:rowOff>47625</xdr:rowOff>
    </xdr:to>
    <xdr:sp macro="" textlink="BB71">
      <xdr:nvSpPr>
        <xdr:cNvPr id="98" name="Text Box 896">
          <a:extLst>
            <a:ext uri="{FF2B5EF4-FFF2-40B4-BE49-F238E27FC236}">
              <a16:creationId xmlns:a16="http://schemas.microsoft.com/office/drawing/2014/main" id="{00000000-0008-0000-00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71</xdr:row>
      <xdr:rowOff>0</xdr:rowOff>
    </xdr:from>
    <xdr:to>
      <xdr:col>24</xdr:col>
      <xdr:colOff>1654968</xdr:colOff>
      <xdr:row>72</xdr:row>
      <xdr:rowOff>47625</xdr:rowOff>
    </xdr:to>
    <xdr:sp macro="" textlink="BB72">
      <xdr:nvSpPr>
        <xdr:cNvPr id="101" name="Text Box 896">
          <a:extLst>
            <a:ext uri="{FF2B5EF4-FFF2-40B4-BE49-F238E27FC236}">
              <a16:creationId xmlns:a16="http://schemas.microsoft.com/office/drawing/2014/main" id="{00000000-0008-0000-00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72</xdr:row>
      <xdr:rowOff>0</xdr:rowOff>
    </xdr:from>
    <xdr:to>
      <xdr:col>24</xdr:col>
      <xdr:colOff>1654968</xdr:colOff>
      <xdr:row>73</xdr:row>
      <xdr:rowOff>47625</xdr:rowOff>
    </xdr:to>
    <xdr:sp macro="" textlink="BB73">
      <xdr:nvSpPr>
        <xdr:cNvPr id="104" name="Text Box 896">
          <a:extLst>
            <a:ext uri="{FF2B5EF4-FFF2-40B4-BE49-F238E27FC236}">
              <a16:creationId xmlns:a16="http://schemas.microsoft.com/office/drawing/2014/main" id="{00000000-0008-0000-00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73</xdr:row>
      <xdr:rowOff>0</xdr:rowOff>
    </xdr:from>
    <xdr:to>
      <xdr:col>24</xdr:col>
      <xdr:colOff>1654968</xdr:colOff>
      <xdr:row>74</xdr:row>
      <xdr:rowOff>47625</xdr:rowOff>
    </xdr:to>
    <xdr:sp macro="" textlink="BB74">
      <xdr:nvSpPr>
        <xdr:cNvPr id="107" name="Text Box 896">
          <a:extLst>
            <a:ext uri="{FF2B5EF4-FFF2-40B4-BE49-F238E27FC236}">
              <a16:creationId xmlns:a16="http://schemas.microsoft.com/office/drawing/2014/main" id="{00000000-0008-0000-00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74</xdr:row>
      <xdr:rowOff>0</xdr:rowOff>
    </xdr:from>
    <xdr:to>
      <xdr:col>24</xdr:col>
      <xdr:colOff>1654968</xdr:colOff>
      <xdr:row>75</xdr:row>
      <xdr:rowOff>47625</xdr:rowOff>
    </xdr:to>
    <xdr:sp macro="" textlink="BB75">
      <xdr:nvSpPr>
        <xdr:cNvPr id="110" name="Text Box 896">
          <a:extLst>
            <a:ext uri="{FF2B5EF4-FFF2-40B4-BE49-F238E27FC236}">
              <a16:creationId xmlns:a16="http://schemas.microsoft.com/office/drawing/2014/main" id="{00000000-0008-0000-00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75</xdr:row>
      <xdr:rowOff>0</xdr:rowOff>
    </xdr:from>
    <xdr:to>
      <xdr:col>24</xdr:col>
      <xdr:colOff>1654968</xdr:colOff>
      <xdr:row>76</xdr:row>
      <xdr:rowOff>47625</xdr:rowOff>
    </xdr:to>
    <xdr:sp macro="" textlink="BB76">
      <xdr:nvSpPr>
        <xdr:cNvPr id="113" name="Text Box 896">
          <a:extLst>
            <a:ext uri="{FF2B5EF4-FFF2-40B4-BE49-F238E27FC236}">
              <a16:creationId xmlns:a16="http://schemas.microsoft.com/office/drawing/2014/main" id="{00000000-0008-0000-00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76</xdr:row>
      <xdr:rowOff>0</xdr:rowOff>
    </xdr:from>
    <xdr:to>
      <xdr:col>24</xdr:col>
      <xdr:colOff>1654968</xdr:colOff>
      <xdr:row>77</xdr:row>
      <xdr:rowOff>47625</xdr:rowOff>
    </xdr:to>
    <xdr:sp macro="" textlink="BB77">
      <xdr:nvSpPr>
        <xdr:cNvPr id="116" name="Text Box 896">
          <a:extLst>
            <a:ext uri="{FF2B5EF4-FFF2-40B4-BE49-F238E27FC236}">
              <a16:creationId xmlns:a16="http://schemas.microsoft.com/office/drawing/2014/main" id="{00000000-0008-0000-00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77</xdr:row>
      <xdr:rowOff>0</xdr:rowOff>
    </xdr:from>
    <xdr:to>
      <xdr:col>24</xdr:col>
      <xdr:colOff>1654968</xdr:colOff>
      <xdr:row>78</xdr:row>
      <xdr:rowOff>47625</xdr:rowOff>
    </xdr:to>
    <xdr:sp macro="" textlink="BB78">
      <xdr:nvSpPr>
        <xdr:cNvPr id="119" name="Text Box 896">
          <a:extLst>
            <a:ext uri="{FF2B5EF4-FFF2-40B4-BE49-F238E27FC236}">
              <a16:creationId xmlns:a16="http://schemas.microsoft.com/office/drawing/2014/main" id="{00000000-0008-0000-00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78</xdr:row>
      <xdr:rowOff>0</xdr:rowOff>
    </xdr:from>
    <xdr:to>
      <xdr:col>24</xdr:col>
      <xdr:colOff>1654968</xdr:colOff>
      <xdr:row>79</xdr:row>
      <xdr:rowOff>47625</xdr:rowOff>
    </xdr:to>
    <xdr:sp macro="" textlink="BB79">
      <xdr:nvSpPr>
        <xdr:cNvPr id="122" name="Text Box 896">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79</xdr:row>
      <xdr:rowOff>0</xdr:rowOff>
    </xdr:from>
    <xdr:to>
      <xdr:col>24</xdr:col>
      <xdr:colOff>1654968</xdr:colOff>
      <xdr:row>80</xdr:row>
      <xdr:rowOff>47625</xdr:rowOff>
    </xdr:to>
    <xdr:sp macro="" textlink="BB80">
      <xdr:nvSpPr>
        <xdr:cNvPr id="125" name="Text Box 896">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80</xdr:row>
      <xdr:rowOff>0</xdr:rowOff>
    </xdr:from>
    <xdr:to>
      <xdr:col>24</xdr:col>
      <xdr:colOff>1654968</xdr:colOff>
      <xdr:row>81</xdr:row>
      <xdr:rowOff>47625</xdr:rowOff>
    </xdr:to>
    <xdr:sp macro="" textlink="BB81">
      <xdr:nvSpPr>
        <xdr:cNvPr id="128" name="Text Box 896">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81</xdr:row>
      <xdr:rowOff>0</xdr:rowOff>
    </xdr:from>
    <xdr:to>
      <xdr:col>24</xdr:col>
      <xdr:colOff>1654968</xdr:colOff>
      <xdr:row>82</xdr:row>
      <xdr:rowOff>47625</xdr:rowOff>
    </xdr:to>
    <xdr:sp macro="" textlink="BB82">
      <xdr:nvSpPr>
        <xdr:cNvPr id="131" name="Text Box 896">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82</xdr:row>
      <xdr:rowOff>0</xdr:rowOff>
    </xdr:from>
    <xdr:to>
      <xdr:col>24</xdr:col>
      <xdr:colOff>1654968</xdr:colOff>
      <xdr:row>83</xdr:row>
      <xdr:rowOff>47625</xdr:rowOff>
    </xdr:to>
    <xdr:sp macro="" textlink="BB83">
      <xdr:nvSpPr>
        <xdr:cNvPr id="134" name="Text Box 896">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83</xdr:row>
      <xdr:rowOff>0</xdr:rowOff>
    </xdr:from>
    <xdr:to>
      <xdr:col>24</xdr:col>
      <xdr:colOff>1654968</xdr:colOff>
      <xdr:row>84</xdr:row>
      <xdr:rowOff>47625</xdr:rowOff>
    </xdr:to>
    <xdr:sp macro="" textlink="BB84">
      <xdr:nvSpPr>
        <xdr:cNvPr id="137" name="Text Box 896">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84</xdr:row>
      <xdr:rowOff>0</xdr:rowOff>
    </xdr:from>
    <xdr:to>
      <xdr:col>24</xdr:col>
      <xdr:colOff>1654968</xdr:colOff>
      <xdr:row>85</xdr:row>
      <xdr:rowOff>47625</xdr:rowOff>
    </xdr:to>
    <xdr:sp macro="" textlink="BB85">
      <xdr:nvSpPr>
        <xdr:cNvPr id="140" name="Text Box 896">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85</xdr:row>
      <xdr:rowOff>0</xdr:rowOff>
    </xdr:from>
    <xdr:to>
      <xdr:col>24</xdr:col>
      <xdr:colOff>1654968</xdr:colOff>
      <xdr:row>86</xdr:row>
      <xdr:rowOff>47625</xdr:rowOff>
    </xdr:to>
    <xdr:sp macro="" textlink="BB86">
      <xdr:nvSpPr>
        <xdr:cNvPr id="143" name="Text Box 896">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86</xdr:row>
      <xdr:rowOff>0</xdr:rowOff>
    </xdr:from>
    <xdr:to>
      <xdr:col>24</xdr:col>
      <xdr:colOff>1654968</xdr:colOff>
      <xdr:row>87</xdr:row>
      <xdr:rowOff>47625</xdr:rowOff>
    </xdr:to>
    <xdr:sp macro="" textlink="BB87">
      <xdr:nvSpPr>
        <xdr:cNvPr id="146" name="Text Box 896">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87</xdr:row>
      <xdr:rowOff>0</xdr:rowOff>
    </xdr:from>
    <xdr:to>
      <xdr:col>24</xdr:col>
      <xdr:colOff>1654968</xdr:colOff>
      <xdr:row>88</xdr:row>
      <xdr:rowOff>47625</xdr:rowOff>
    </xdr:to>
    <xdr:sp macro="" textlink="BB88">
      <xdr:nvSpPr>
        <xdr:cNvPr id="149" name="Text Box 896">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88</xdr:row>
      <xdr:rowOff>0</xdr:rowOff>
    </xdr:from>
    <xdr:to>
      <xdr:col>24</xdr:col>
      <xdr:colOff>1654968</xdr:colOff>
      <xdr:row>89</xdr:row>
      <xdr:rowOff>47625</xdr:rowOff>
    </xdr:to>
    <xdr:sp macro="" textlink="BB89">
      <xdr:nvSpPr>
        <xdr:cNvPr id="152" name="Text Box 896">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89</xdr:row>
      <xdr:rowOff>0</xdr:rowOff>
    </xdr:from>
    <xdr:to>
      <xdr:col>24</xdr:col>
      <xdr:colOff>1654968</xdr:colOff>
      <xdr:row>90</xdr:row>
      <xdr:rowOff>47625</xdr:rowOff>
    </xdr:to>
    <xdr:sp macro="" textlink="BB90">
      <xdr:nvSpPr>
        <xdr:cNvPr id="155" name="Text Box 896">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90</xdr:row>
      <xdr:rowOff>0</xdr:rowOff>
    </xdr:from>
    <xdr:to>
      <xdr:col>24</xdr:col>
      <xdr:colOff>1654968</xdr:colOff>
      <xdr:row>91</xdr:row>
      <xdr:rowOff>47625</xdr:rowOff>
    </xdr:to>
    <xdr:sp macro="" textlink="BB91">
      <xdr:nvSpPr>
        <xdr:cNvPr id="158" name="Text Box 896">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91</xdr:row>
      <xdr:rowOff>0</xdr:rowOff>
    </xdr:from>
    <xdr:to>
      <xdr:col>24</xdr:col>
      <xdr:colOff>1654968</xdr:colOff>
      <xdr:row>92</xdr:row>
      <xdr:rowOff>47625</xdr:rowOff>
    </xdr:to>
    <xdr:sp macro="" textlink="BB92">
      <xdr:nvSpPr>
        <xdr:cNvPr id="161" name="Text Box 896">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92</xdr:row>
      <xdr:rowOff>0</xdr:rowOff>
    </xdr:from>
    <xdr:to>
      <xdr:col>24</xdr:col>
      <xdr:colOff>1654968</xdr:colOff>
      <xdr:row>93</xdr:row>
      <xdr:rowOff>47625</xdr:rowOff>
    </xdr:to>
    <xdr:sp macro="" textlink="BB93">
      <xdr:nvSpPr>
        <xdr:cNvPr id="164" name="Text Box 896">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93</xdr:row>
      <xdr:rowOff>0</xdr:rowOff>
    </xdr:from>
    <xdr:to>
      <xdr:col>24</xdr:col>
      <xdr:colOff>1654968</xdr:colOff>
      <xdr:row>94</xdr:row>
      <xdr:rowOff>47625</xdr:rowOff>
    </xdr:to>
    <xdr:sp macro="" textlink="BB94">
      <xdr:nvSpPr>
        <xdr:cNvPr id="167" name="Text Box 896">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94</xdr:row>
      <xdr:rowOff>0</xdr:rowOff>
    </xdr:from>
    <xdr:to>
      <xdr:col>24</xdr:col>
      <xdr:colOff>1654968</xdr:colOff>
      <xdr:row>95</xdr:row>
      <xdr:rowOff>47625</xdr:rowOff>
    </xdr:to>
    <xdr:sp macro="" textlink="BB95">
      <xdr:nvSpPr>
        <xdr:cNvPr id="170" name="Text Box 896">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95</xdr:row>
      <xdr:rowOff>0</xdr:rowOff>
    </xdr:from>
    <xdr:to>
      <xdr:col>24</xdr:col>
      <xdr:colOff>1654968</xdr:colOff>
      <xdr:row>96</xdr:row>
      <xdr:rowOff>47625</xdr:rowOff>
    </xdr:to>
    <xdr:sp macro="" textlink="BB96">
      <xdr:nvSpPr>
        <xdr:cNvPr id="173" name="Text Box 896">
          <a:extLst>
            <a:ext uri="{FF2B5EF4-FFF2-40B4-BE49-F238E27FC236}">
              <a16:creationId xmlns:a16="http://schemas.microsoft.com/office/drawing/2014/main" id="{00000000-0008-0000-00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96</xdr:row>
      <xdr:rowOff>0</xdr:rowOff>
    </xdr:from>
    <xdr:to>
      <xdr:col>24</xdr:col>
      <xdr:colOff>1654968</xdr:colOff>
      <xdr:row>97</xdr:row>
      <xdr:rowOff>47625</xdr:rowOff>
    </xdr:to>
    <xdr:sp macro="" textlink="BB97">
      <xdr:nvSpPr>
        <xdr:cNvPr id="176" name="Text Box 896">
          <a:extLst>
            <a:ext uri="{FF2B5EF4-FFF2-40B4-BE49-F238E27FC236}">
              <a16:creationId xmlns:a16="http://schemas.microsoft.com/office/drawing/2014/main" id="{00000000-0008-0000-00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97</xdr:row>
      <xdr:rowOff>0</xdr:rowOff>
    </xdr:from>
    <xdr:to>
      <xdr:col>24</xdr:col>
      <xdr:colOff>1654968</xdr:colOff>
      <xdr:row>98</xdr:row>
      <xdr:rowOff>47625</xdr:rowOff>
    </xdr:to>
    <xdr:sp macro="" textlink="BB98">
      <xdr:nvSpPr>
        <xdr:cNvPr id="178" name="Text Box 896">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2</xdr:col>
      <xdr:colOff>540416</xdr:colOff>
      <xdr:row>1</xdr:row>
      <xdr:rowOff>114300</xdr:rowOff>
    </xdr:from>
    <xdr:to>
      <xdr:col>4</xdr:col>
      <xdr:colOff>27701</xdr:colOff>
      <xdr:row>1</xdr:row>
      <xdr:rowOff>359100</xdr:rowOff>
    </xdr:to>
    <xdr:sp macro="" textlink="" fLocksText="0">
      <xdr:nvSpPr>
        <xdr:cNvPr id="96" name="AutoShape 485" descr="help">
          <a:hlinkClick xmlns:r="http://schemas.openxmlformats.org/officeDocument/2006/relationships" r:id="rId1"/>
          <a:extLst>
            <a:ext uri="{FF2B5EF4-FFF2-40B4-BE49-F238E27FC236}">
              <a16:creationId xmlns:a16="http://schemas.microsoft.com/office/drawing/2014/main" id="{00000000-0008-0000-0000-000060000000}"/>
            </a:ext>
          </a:extLst>
        </xdr:cNvPr>
        <xdr:cNvSpPr>
          <a:spLocks noChangeArrowheads="1"/>
        </xdr:cNvSpPr>
      </xdr:nvSpPr>
      <xdr:spPr bwMode="auto">
        <a:xfrm>
          <a:off x="835691" y="2162175"/>
          <a:ext cx="1373235"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LocksWithSheet="0"/>
  </xdr:twoCellAnchor>
  <xdr:twoCellAnchor>
    <xdr:from>
      <xdr:col>0</xdr:col>
      <xdr:colOff>107204</xdr:colOff>
      <xdr:row>2</xdr:row>
      <xdr:rowOff>25587</xdr:rowOff>
    </xdr:from>
    <xdr:to>
      <xdr:col>8</xdr:col>
      <xdr:colOff>11206</xdr:colOff>
      <xdr:row>3</xdr:row>
      <xdr:rowOff>2053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7204" y="2558116"/>
          <a:ext cx="6392208" cy="536761"/>
        </a:xfrm>
        <a:prstGeom prst="rect">
          <a:avLst/>
        </a:prstGeom>
        <a:solidFill>
          <a:srgbClr val="9E2A2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659492</xdr:rowOff>
    </xdr:from>
    <xdr:to>
      <xdr:col>25</xdr:col>
      <xdr:colOff>717177</xdr:colOff>
      <xdr:row>0</xdr:row>
      <xdr:rowOff>1900052</xdr:rowOff>
    </xdr:to>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0" y="659492"/>
          <a:ext cx="26941852" cy="12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br>
            <a:rPr lang="en-US" sz="4000">
              <a:solidFill>
                <a:schemeClr val="bg1"/>
              </a:solidFill>
              <a:latin typeface="Arial" panose="020B0604020202020204" pitchFamily="34" charset="0"/>
              <a:ea typeface="Inter" panose="020B0502030000000004" pitchFamily="34" charset="0"/>
              <a:cs typeface="Arial" panose="020B0604020202020204" pitchFamily="34" charset="0"/>
            </a:rPr>
          </a:b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24</xdr:col>
      <xdr:colOff>609189</xdr:colOff>
      <xdr:row>0</xdr:row>
      <xdr:rowOff>1406786</xdr:rowOff>
    </xdr:from>
    <xdr:to>
      <xdr:col>24</xdr:col>
      <xdr:colOff>1286420</xdr:colOff>
      <xdr:row>1</xdr:row>
      <xdr:rowOff>11583</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187424" y="1406786"/>
          <a:ext cx="668703" cy="662566"/>
        </a:xfrm>
        <a:prstGeom prst="rect">
          <a:avLst/>
        </a:prstGeom>
      </xdr:spPr>
    </xdr:pic>
    <xdr:clientData/>
  </xdr:twoCellAnchor>
  <xdr:twoCellAnchor editAs="oneCell">
    <xdr:from>
      <xdr:col>1</xdr:col>
      <xdr:colOff>119170</xdr:colOff>
      <xdr:row>101</xdr:row>
      <xdr:rowOff>20780</xdr:rowOff>
    </xdr:from>
    <xdr:to>
      <xdr:col>3</xdr:col>
      <xdr:colOff>352089</xdr:colOff>
      <xdr:row>101</xdr:row>
      <xdr:rowOff>488199</xdr:rowOff>
    </xdr:to>
    <xdr:pic>
      <xdr:nvPicPr>
        <xdr:cNvPr id="91" name="Picture 90">
          <a:extLst>
            <a:ext uri="{FF2B5EF4-FFF2-40B4-BE49-F238E27FC236}">
              <a16:creationId xmlns:a16="http://schemas.microsoft.com/office/drawing/2014/main" id="{00000000-0008-0000-0000-00005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99" y="10666368"/>
          <a:ext cx="1343951" cy="469505"/>
        </a:xfrm>
        <a:prstGeom prst="rect">
          <a:avLst/>
        </a:prstGeom>
      </xdr:spPr>
    </xdr:pic>
    <xdr:clientData/>
  </xdr:twoCellAnchor>
  <xdr:twoCellAnchor>
    <xdr:from>
      <xdr:col>1</xdr:col>
      <xdr:colOff>0</xdr:colOff>
      <xdr:row>100</xdr:row>
      <xdr:rowOff>194235</xdr:rowOff>
    </xdr:from>
    <xdr:to>
      <xdr:col>22</xdr:col>
      <xdr:colOff>461818</xdr:colOff>
      <xdr:row>100</xdr:row>
      <xdr:rowOff>1098178</xdr:rowOff>
    </xdr:to>
    <xdr:sp macro="" textlink="">
      <xdr:nvSpPr>
        <xdr:cNvPr id="93" name="TextBox 92">
          <a:hlinkClick xmlns:r="http://schemas.openxmlformats.org/officeDocument/2006/relationships" r:id="rId4"/>
          <a:extLst>
            <a:ext uri="{FF2B5EF4-FFF2-40B4-BE49-F238E27FC236}">
              <a16:creationId xmlns:a16="http://schemas.microsoft.com/office/drawing/2014/main" id="{00000000-0008-0000-0000-00005D000000}"/>
            </a:ext>
          </a:extLst>
        </xdr:cNvPr>
        <xdr:cNvSpPr txBox="1"/>
      </xdr:nvSpPr>
      <xdr:spPr>
        <a:xfrm>
          <a:off x="115455" y="12028326"/>
          <a:ext cx="22502090"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3</xdr:col>
      <xdr:colOff>493593</xdr:colOff>
      <xdr:row>100</xdr:row>
      <xdr:rowOff>1026139</xdr:rowOff>
    </xdr:from>
    <xdr:to>
      <xdr:col>17</xdr:col>
      <xdr:colOff>774806</xdr:colOff>
      <xdr:row>101</xdr:row>
      <xdr:rowOff>539484</xdr:rowOff>
    </xdr:to>
    <xdr:sp macro="" textlink="">
      <xdr:nvSpPr>
        <xdr:cNvPr id="97" name="TextBox 96">
          <a:hlinkClick xmlns:r="http://schemas.openxmlformats.org/officeDocument/2006/relationships" r:id="rId5"/>
          <a:extLst>
            <a:ext uri="{FF2B5EF4-FFF2-40B4-BE49-F238E27FC236}">
              <a16:creationId xmlns:a16="http://schemas.microsoft.com/office/drawing/2014/main" id="{00000000-0008-0000-0000-000061000000}"/>
            </a:ext>
          </a:extLst>
        </xdr:cNvPr>
        <xdr:cNvSpPr txBox="1"/>
      </xdr:nvSpPr>
      <xdr:spPr>
        <a:xfrm>
          <a:off x="1726240" y="10558610"/>
          <a:ext cx="16492390" cy="626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22</xdr:col>
      <xdr:colOff>873768</xdr:colOff>
      <xdr:row>0</xdr:row>
      <xdr:rowOff>0</xdr:rowOff>
    </xdr:from>
    <xdr:to>
      <xdr:col>24</xdr:col>
      <xdr:colOff>962530</xdr:colOff>
      <xdr:row>0</xdr:row>
      <xdr:rowOff>1361686</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121180" y="0"/>
          <a:ext cx="2760688" cy="1357422"/>
        </a:xfrm>
        <a:prstGeom prst="rect">
          <a:avLst/>
        </a:prstGeom>
      </xdr:spPr>
    </xdr:pic>
    <xdr:clientData/>
  </xdr:twoCellAnchor>
  <xdr:twoCellAnchor editAs="oneCell">
    <xdr:from>
      <xdr:col>0</xdr:col>
      <xdr:colOff>0</xdr:colOff>
      <xdr:row>0</xdr:row>
      <xdr:rowOff>54429</xdr:rowOff>
    </xdr:from>
    <xdr:to>
      <xdr:col>2</xdr:col>
      <xdr:colOff>677737</xdr:colOff>
      <xdr:row>0</xdr:row>
      <xdr:rowOff>1411863</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4429"/>
          <a:ext cx="971176" cy="1357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7847240</xdr:colOff>
      <xdr:row>12</xdr:row>
      <xdr:rowOff>693509</xdr:rowOff>
    </xdr:from>
    <xdr:to>
      <xdr:col>4</xdr:col>
      <xdr:colOff>9888440</xdr:colOff>
      <xdr:row>14</xdr:row>
      <xdr:rowOff>8481</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id="{00000000-0008-0000-0100-000002000000}"/>
            </a:ext>
          </a:extLst>
        </xdr:cNvPr>
        <xdr:cNvSpPr>
          <a:spLocks noChangeArrowheads="1"/>
        </xdr:cNvSpPr>
      </xdr:nvSpPr>
      <xdr:spPr bwMode="auto">
        <a:xfrm>
          <a:off x="8592675" y="6110335"/>
          <a:ext cx="2041200" cy="358581"/>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a:t>
          </a:r>
          <a:r>
            <a:rPr lang="en-AU" sz="1000" b="1" i="1" u="none" strike="noStrike" baseline="0">
              <a:solidFill>
                <a:srgbClr val="FFFFFF"/>
              </a:solidFill>
              <a:latin typeface="Arial" panose="020B0604020202020204" pitchFamily="34" charset="0"/>
              <a:cs typeface="Arial" panose="020B0604020202020204" pitchFamily="34" charset="0"/>
            </a:rPr>
            <a:t> 1</a:t>
          </a:r>
        </a:p>
      </xdr:txBody>
    </xdr:sp>
    <xdr:clientData fPrintsWithSheet="0"/>
  </xdr:twoCellAnchor>
  <xdr:twoCellAnchor>
    <xdr:from>
      <xdr:col>4</xdr:col>
      <xdr:colOff>7917998</xdr:colOff>
      <xdr:row>17</xdr:row>
      <xdr:rowOff>696685</xdr:rowOff>
    </xdr:from>
    <xdr:to>
      <xdr:col>4</xdr:col>
      <xdr:colOff>9959198</xdr:colOff>
      <xdr:row>19</xdr:row>
      <xdr:rowOff>11656</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id="{00000000-0008-0000-0100-000003000000}"/>
            </a:ext>
          </a:extLst>
        </xdr:cNvPr>
        <xdr:cNvSpPr>
          <a:spLocks noChangeArrowheads="1"/>
        </xdr:cNvSpPr>
      </xdr:nvSpPr>
      <xdr:spPr bwMode="auto">
        <a:xfrm>
          <a:off x="8658227" y="9459685"/>
          <a:ext cx="2041200" cy="3600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2</a:t>
          </a:r>
        </a:p>
      </xdr:txBody>
    </xdr:sp>
    <xdr:clientData fPrintsWithSheet="0"/>
  </xdr:twoCellAnchor>
  <xdr:twoCellAnchor>
    <xdr:from>
      <xdr:col>4</xdr:col>
      <xdr:colOff>7847240</xdr:colOff>
      <xdr:row>25</xdr:row>
      <xdr:rowOff>429985</xdr:rowOff>
    </xdr:from>
    <xdr:to>
      <xdr:col>4</xdr:col>
      <xdr:colOff>9888440</xdr:colOff>
      <xdr:row>27</xdr:row>
      <xdr:rowOff>17099</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id="{00000000-0008-0000-0100-000004000000}"/>
            </a:ext>
          </a:extLst>
        </xdr:cNvPr>
        <xdr:cNvSpPr>
          <a:spLocks noChangeArrowheads="1"/>
        </xdr:cNvSpPr>
      </xdr:nvSpPr>
      <xdr:spPr bwMode="auto">
        <a:xfrm>
          <a:off x="8587469" y="13503728"/>
          <a:ext cx="2041200" cy="3600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a:t>
          </a:r>
          <a:r>
            <a:rPr lang="en-AU" sz="1000" b="1" i="1" u="none" strike="noStrike" baseline="0">
              <a:solidFill>
                <a:srgbClr val="FFFFFF"/>
              </a:solidFill>
              <a:latin typeface="Arial" panose="020B0604020202020204" pitchFamily="34" charset="0"/>
              <a:cs typeface="Arial" panose="020B0604020202020204" pitchFamily="34" charset="0"/>
            </a:rPr>
            <a:t> 3</a:t>
          </a:r>
        </a:p>
      </xdr:txBody>
    </xdr:sp>
    <xdr:clientData fPrintsWithSheet="0"/>
  </xdr:twoCellAnchor>
  <xdr:twoCellAnchor>
    <xdr:from>
      <xdr:col>0</xdr:col>
      <xdr:colOff>12700</xdr:colOff>
      <xdr:row>0</xdr:row>
      <xdr:rowOff>557892</xdr:rowOff>
    </xdr:from>
    <xdr:to>
      <xdr:col>5</xdr:col>
      <xdr:colOff>19050</xdr:colOff>
      <xdr:row>1</xdr:row>
      <xdr:rowOff>82550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2700" y="557892"/>
          <a:ext cx="10642600" cy="1143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9234240</xdr:colOff>
      <xdr:row>0</xdr:row>
      <xdr:rowOff>1096755</xdr:rowOff>
    </xdr:from>
    <xdr:to>
      <xdr:col>4</xdr:col>
      <xdr:colOff>9741314</xdr:colOff>
      <xdr:row>1</xdr:row>
      <xdr:rowOff>16289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979675" y="1096755"/>
          <a:ext cx="507074" cy="542925"/>
        </a:xfrm>
        <a:prstGeom prst="rect">
          <a:avLst/>
        </a:prstGeom>
      </xdr:spPr>
    </xdr:pic>
    <xdr:clientData/>
  </xdr:twoCellAnchor>
  <xdr:twoCellAnchor editAs="oneCell">
    <xdr:from>
      <xdr:col>4</xdr:col>
      <xdr:colOff>7848599</xdr:colOff>
      <xdr:row>0</xdr:row>
      <xdr:rowOff>146050</xdr:rowOff>
    </xdr:from>
    <xdr:to>
      <xdr:col>4</xdr:col>
      <xdr:colOff>9791700</xdr:colOff>
      <xdr:row>0</xdr:row>
      <xdr:rowOff>1009296</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633" r="4411"/>
        <a:stretch/>
      </xdr:blipFill>
      <xdr:spPr>
        <a:xfrm>
          <a:off x="8585199" y="146050"/>
          <a:ext cx="1943101" cy="863246"/>
        </a:xfrm>
        <a:prstGeom prst="rect">
          <a:avLst/>
        </a:prstGeom>
      </xdr:spPr>
    </xdr:pic>
    <xdr:clientData/>
  </xdr:twoCellAnchor>
  <xdr:twoCellAnchor editAs="oneCell">
    <xdr:from>
      <xdr:col>1</xdr:col>
      <xdr:colOff>6350</xdr:colOff>
      <xdr:row>0</xdr:row>
      <xdr:rowOff>101600</xdr:rowOff>
    </xdr:from>
    <xdr:to>
      <xdr:col>4</xdr:col>
      <xdr:colOff>221876</xdr:colOff>
      <xdr:row>0</xdr:row>
      <xdr:rowOff>1151020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155"/>
        <a:stretch/>
      </xdr:blipFill>
      <xdr:spPr>
        <a:xfrm>
          <a:off x="127000" y="101600"/>
          <a:ext cx="831476" cy="1055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47626</xdr:colOff>
      <xdr:row>39</xdr:row>
      <xdr:rowOff>38100</xdr:rowOff>
    </xdr:from>
    <xdr:to>
      <xdr:col>4</xdr:col>
      <xdr:colOff>5706264</xdr:colOff>
      <xdr:row>60</xdr:row>
      <xdr:rowOff>121155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790576" y="18288000"/>
          <a:ext cx="5658638" cy="3483480"/>
        </a:xfrm>
        <a:prstGeom prst="rect">
          <a:avLst/>
        </a:prstGeom>
      </xdr:spPr>
    </xdr:pic>
    <xdr:clientData/>
  </xdr:twoCellAnchor>
  <xdr:twoCellAnchor>
    <xdr:from>
      <xdr:col>0</xdr:col>
      <xdr:colOff>0</xdr:colOff>
      <xdr:row>0</xdr:row>
      <xdr:rowOff>557892</xdr:rowOff>
    </xdr:from>
    <xdr:to>
      <xdr:col>5</xdr:col>
      <xdr:colOff>0</xdr:colOff>
      <xdr:row>1</xdr:row>
      <xdr:rowOff>31750</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0" y="557892"/>
          <a:ext cx="10636250" cy="1080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New features for NCC 2022</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9303676</xdr:colOff>
      <xdr:row>0</xdr:row>
      <xdr:rowOff>1184275</xdr:rowOff>
    </xdr:from>
    <xdr:to>
      <xdr:col>4</xdr:col>
      <xdr:colOff>9817100</xdr:colOff>
      <xdr:row>1</xdr:row>
      <xdr:rowOff>115207</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40276" y="1184275"/>
          <a:ext cx="510249" cy="542925"/>
        </a:xfrm>
        <a:prstGeom prst="rect">
          <a:avLst/>
        </a:prstGeom>
      </xdr:spPr>
    </xdr:pic>
    <xdr:clientData/>
  </xdr:twoCellAnchor>
  <xdr:twoCellAnchor editAs="oneCell">
    <xdr:from>
      <xdr:col>4</xdr:col>
      <xdr:colOff>7734299</xdr:colOff>
      <xdr:row>0</xdr:row>
      <xdr:rowOff>95250</xdr:rowOff>
    </xdr:from>
    <xdr:to>
      <xdr:col>4</xdr:col>
      <xdr:colOff>9677400</xdr:colOff>
      <xdr:row>0</xdr:row>
      <xdr:rowOff>961671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633" r="4411"/>
        <a:stretch/>
      </xdr:blipFill>
      <xdr:spPr>
        <a:xfrm>
          <a:off x="8470899" y="95250"/>
          <a:ext cx="1943101" cy="863246"/>
        </a:xfrm>
        <a:prstGeom prst="rect">
          <a:avLst/>
        </a:prstGeom>
      </xdr:spPr>
    </xdr:pic>
    <xdr:clientData/>
  </xdr:twoCellAnchor>
  <xdr:twoCellAnchor editAs="oneCell">
    <xdr:from>
      <xdr:col>0</xdr:col>
      <xdr:colOff>12700</xdr:colOff>
      <xdr:row>0</xdr:row>
      <xdr:rowOff>50800</xdr:rowOff>
    </xdr:from>
    <xdr:to>
      <xdr:col>4</xdr:col>
      <xdr:colOff>104401</xdr:colOff>
      <xdr:row>0</xdr:row>
      <xdr:rowOff>1106570</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55"/>
        <a:stretch/>
      </xdr:blipFill>
      <xdr:spPr>
        <a:xfrm>
          <a:off x="12700" y="50800"/>
          <a:ext cx="831476" cy="1055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0</xdr:row>
      <xdr:rowOff>532492</xdr:rowOff>
    </xdr:from>
    <xdr:to>
      <xdr:col>4</xdr:col>
      <xdr:colOff>5505450</xdr:colOff>
      <xdr:row>0</xdr:row>
      <xdr:rowOff>1471551</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31750" y="532492"/>
          <a:ext cx="13550900"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6</xdr:col>
      <xdr:colOff>13626</xdr:colOff>
      <xdr:row>0</xdr:row>
      <xdr:rowOff>1241425</xdr:rowOff>
    </xdr:from>
    <xdr:to>
      <xdr:col>6</xdr:col>
      <xdr:colOff>520700</xdr:colOff>
      <xdr:row>1</xdr:row>
      <xdr:rowOff>66675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843926" y="1241425"/>
          <a:ext cx="510249" cy="542925"/>
        </a:xfrm>
        <a:prstGeom prst="rect">
          <a:avLst/>
        </a:prstGeom>
      </xdr:spPr>
    </xdr:pic>
    <xdr:clientData/>
  </xdr:twoCellAnchor>
  <xdr:twoCellAnchor editAs="oneCell">
    <xdr:from>
      <xdr:col>4</xdr:col>
      <xdr:colOff>4545733</xdr:colOff>
      <xdr:row>0</xdr:row>
      <xdr:rowOff>165100</xdr:rowOff>
    </xdr:from>
    <xdr:to>
      <xdr:col>6</xdr:col>
      <xdr:colOff>533401</xdr:colOff>
      <xdr:row>0</xdr:row>
      <xdr:rowOff>1104900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633" r="4411"/>
        <a:stretch/>
      </xdr:blipFill>
      <xdr:spPr>
        <a:xfrm>
          <a:off x="12248283" y="165100"/>
          <a:ext cx="2115418" cy="939800"/>
        </a:xfrm>
        <a:prstGeom prst="rect">
          <a:avLst/>
        </a:prstGeom>
      </xdr:spPr>
    </xdr:pic>
    <xdr:clientData/>
  </xdr:twoCellAnchor>
  <xdr:twoCellAnchor editAs="oneCell">
    <xdr:from>
      <xdr:col>0</xdr:col>
      <xdr:colOff>146050</xdr:colOff>
      <xdr:row>0</xdr:row>
      <xdr:rowOff>120650</xdr:rowOff>
    </xdr:from>
    <xdr:to>
      <xdr:col>1</xdr:col>
      <xdr:colOff>660305</xdr:colOff>
      <xdr:row>0</xdr:row>
      <xdr:rowOff>1304925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155"/>
        <a:stretch/>
      </xdr:blipFill>
      <xdr:spPr>
        <a:xfrm>
          <a:off x="146050" y="120650"/>
          <a:ext cx="930180" cy="1181100"/>
        </a:xfrm>
        <a:prstGeom prst="rect">
          <a:avLst/>
        </a:prstGeom>
      </xdr:spPr>
    </xdr:pic>
    <xdr:clientData/>
  </xdr:twoCellAnchor>
  <xdr:twoCellAnchor editAs="oneCell">
    <xdr:from>
      <xdr:col>0</xdr:col>
      <xdr:colOff>383668</xdr:colOff>
      <xdr:row>6</xdr:row>
      <xdr:rowOff>25400</xdr:rowOff>
    </xdr:from>
    <xdr:to>
      <xdr:col>7</xdr:col>
      <xdr:colOff>86020</xdr:colOff>
      <xdr:row>49</xdr:row>
      <xdr:rowOff>104774</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3668" y="2971800"/>
          <a:ext cx="14139077" cy="7181849"/>
        </a:xfrm>
        <a:prstGeom prst="rect">
          <a:avLst/>
        </a:prstGeom>
      </xdr:spPr>
    </xdr:pic>
    <xdr:clientData/>
  </xdr:twoCellAnchor>
  <xdr:twoCellAnchor editAs="oneCell">
    <xdr:from>
      <xdr:col>1</xdr:col>
      <xdr:colOff>42262</xdr:colOff>
      <xdr:row>53</xdr:row>
      <xdr:rowOff>63500</xdr:rowOff>
    </xdr:from>
    <xdr:to>
      <xdr:col>6</xdr:col>
      <xdr:colOff>302165</xdr:colOff>
      <xdr:row>95</xdr:row>
      <xdr:rowOff>38099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1362" y="10833100"/>
          <a:ext cx="13671103" cy="6908799"/>
        </a:xfrm>
        <a:prstGeom prst="rect">
          <a:avLst/>
        </a:prstGeom>
      </xdr:spPr>
    </xdr:pic>
    <xdr:clientData/>
  </xdr:twoCellAnchor>
  <xdr:twoCellAnchor editAs="oneCell">
    <xdr:from>
      <xdr:col>1</xdr:col>
      <xdr:colOff>0</xdr:colOff>
      <xdr:row>101</xdr:row>
      <xdr:rowOff>0</xdr:rowOff>
    </xdr:from>
    <xdr:to>
      <xdr:col>7</xdr:col>
      <xdr:colOff>523875</xdr:colOff>
      <xdr:row>145</xdr:row>
      <xdr:rowOff>83800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9100" y="18757900"/>
          <a:ext cx="14547850" cy="7345025"/>
        </a:xfrm>
        <a:prstGeom prst="rect">
          <a:avLst/>
        </a:prstGeom>
      </xdr:spPr>
    </xdr:pic>
    <xdr:clientData/>
  </xdr:twoCellAnchor>
  <xdr:twoCellAnchor>
    <xdr:from>
      <xdr:col>0</xdr:col>
      <xdr:colOff>228600</xdr:colOff>
      <xdr:row>6</xdr:row>
      <xdr:rowOff>69850</xdr:rowOff>
    </xdr:from>
    <xdr:to>
      <xdr:col>2</xdr:col>
      <xdr:colOff>273050</xdr:colOff>
      <xdr:row>17</xdr:row>
      <xdr:rowOff>139700</xdr:rowOff>
    </xdr:to>
    <xdr:sp macro="" textlink="">
      <xdr:nvSpPr>
        <xdr:cNvPr id="18" name="Rounded Rectangular Callout 17">
          <a:extLst>
            <a:ext uri="{FF2B5EF4-FFF2-40B4-BE49-F238E27FC236}">
              <a16:creationId xmlns:a16="http://schemas.microsoft.com/office/drawing/2014/main" id="{00000000-0008-0000-0300-000012000000}"/>
            </a:ext>
          </a:extLst>
        </xdr:cNvPr>
        <xdr:cNvSpPr/>
      </xdr:nvSpPr>
      <xdr:spPr>
        <a:xfrm>
          <a:off x="228600" y="3016250"/>
          <a:ext cx="3073400" cy="1885950"/>
        </a:xfrm>
        <a:prstGeom prst="wedgeRoundRectCallout">
          <a:avLst>
            <a:gd name="adj1" fmla="val 34084"/>
            <a:gd name="adj2" fmla="val 10193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To change the number of rows</a:t>
          </a:r>
          <a:r>
            <a:rPr lang="en-AU" sz="11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1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100" b="0" baseline="0">
            <a:latin typeface="Arial" panose="020B0604020202020204" pitchFamily="34" charset="0"/>
            <a:ea typeface="Inter" panose="020B0502030000000004" pitchFamily="34" charset="0"/>
            <a:cs typeface="Arial" panose="020B0604020202020204" pitchFamily="34" charset="0"/>
          </a:endParaRPr>
        </a:p>
        <a:p>
          <a:pPr algn="l"/>
          <a:r>
            <a:rPr lang="en-AU" sz="11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1568450</xdr:colOff>
      <xdr:row>26</xdr:row>
      <xdr:rowOff>38100</xdr:rowOff>
    </xdr:from>
    <xdr:to>
      <xdr:col>2</xdr:col>
      <xdr:colOff>1949450</xdr:colOff>
      <xdr:row>35</xdr:row>
      <xdr:rowOff>152400</xdr:rowOff>
    </xdr:to>
    <xdr:sp macro="" textlink="">
      <xdr:nvSpPr>
        <xdr:cNvPr id="19" name="Rounded Rectangular Callout 18">
          <a:extLst>
            <a:ext uri="{FF2B5EF4-FFF2-40B4-BE49-F238E27FC236}">
              <a16:creationId xmlns:a16="http://schemas.microsoft.com/office/drawing/2014/main" id="{00000000-0008-0000-0300-000013000000}"/>
            </a:ext>
          </a:extLst>
        </xdr:cNvPr>
        <xdr:cNvSpPr/>
      </xdr:nvSpPr>
      <xdr:spPr>
        <a:xfrm>
          <a:off x="1987550" y="6286500"/>
          <a:ext cx="2990850" cy="1600200"/>
        </a:xfrm>
        <a:prstGeom prst="wedgeRoundRectCallout">
          <a:avLst>
            <a:gd name="adj1" fmla="val -89835"/>
            <a:gd name="adj2" fmla="val 14862"/>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To change the number of rows</a:t>
          </a:r>
          <a:r>
            <a:rPr lang="en-AU" sz="1100" b="1" baseline="0">
              <a:latin typeface="Arial" panose="020B0604020202020204" pitchFamily="34" charset="0"/>
              <a:ea typeface="Inter" panose="020B0502030000000004" pitchFamily="34" charset="0"/>
              <a:cs typeface="Arial" panose="020B0604020202020204" pitchFamily="34" charset="0"/>
            </a:rPr>
            <a:t> displayed (step 2 of 2):</a:t>
          </a:r>
        </a:p>
        <a:p>
          <a:pPr algn="l"/>
          <a:r>
            <a:rPr lang="en-AU" sz="1100" b="0" baseline="0">
              <a:latin typeface="Arial" panose="020B0604020202020204" pitchFamily="34" charset="0"/>
              <a:ea typeface="Inter" panose="020B0502030000000004" pitchFamily="34" charset="0"/>
              <a:cs typeface="Arial" panose="020B0604020202020204" pitchFamily="34" charset="0"/>
            </a:rPr>
            <a:t>Click the arrow in the red filled cell and then select the only number in the drop down list.</a:t>
          </a:r>
        </a:p>
        <a:p>
          <a:pPr algn="l"/>
          <a:endParaRPr lang="en-AU" sz="1100" b="0" baseline="0">
            <a:latin typeface="Arial" panose="020B0604020202020204" pitchFamily="34" charset="0"/>
            <a:ea typeface="Inter" panose="020B0502030000000004" pitchFamily="34" charset="0"/>
            <a:cs typeface="Arial" panose="020B0604020202020204" pitchFamily="34" charset="0"/>
          </a:endParaRPr>
        </a:p>
        <a:p>
          <a:pPr algn="l"/>
          <a:r>
            <a:rPr lang="en-AU" sz="1100" b="0" baseline="0">
              <a:latin typeface="Arial" panose="020B0604020202020204" pitchFamily="34" charset="0"/>
              <a:ea typeface="Inter" panose="020B0502030000000004" pitchFamily="34" charset="0"/>
              <a:cs typeface="Arial" panose="020B0604020202020204" pitchFamily="34" charset="0"/>
            </a:rPr>
            <a:t>(This number will always match the number set in step 1.)</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0</xdr:col>
      <xdr:colOff>368300</xdr:colOff>
      <xdr:row>31</xdr:row>
      <xdr:rowOff>158750</xdr:rowOff>
    </xdr:from>
    <xdr:to>
      <xdr:col>1</xdr:col>
      <xdr:colOff>336550</xdr:colOff>
      <xdr:row>33</xdr:row>
      <xdr:rowOff>0</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368300" y="7232650"/>
          <a:ext cx="387350" cy="171450"/>
        </a:xfrm>
        <a:prstGeom prst="roundRect">
          <a:avLst/>
        </a:prstGeom>
        <a:noFill/>
        <a:ln>
          <a:solidFill>
            <a:srgbClr val="999FA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xdr:from>
      <xdr:col>1</xdr:col>
      <xdr:colOff>133350</xdr:colOff>
      <xdr:row>55</xdr:row>
      <xdr:rowOff>82550</xdr:rowOff>
    </xdr:from>
    <xdr:to>
      <xdr:col>2</xdr:col>
      <xdr:colOff>273050</xdr:colOff>
      <xdr:row>60</xdr:row>
      <xdr:rowOff>38100</xdr:rowOff>
    </xdr:to>
    <xdr:sp macro="" textlink="">
      <xdr:nvSpPr>
        <xdr:cNvPr id="21" name="Rounded Rectangular Callout 20">
          <a:extLst>
            <a:ext uri="{FF2B5EF4-FFF2-40B4-BE49-F238E27FC236}">
              <a16:creationId xmlns:a16="http://schemas.microsoft.com/office/drawing/2014/main" id="{00000000-0008-0000-0300-000015000000}"/>
            </a:ext>
          </a:extLst>
        </xdr:cNvPr>
        <xdr:cNvSpPr/>
      </xdr:nvSpPr>
      <xdr:spPr>
        <a:xfrm>
          <a:off x="552450" y="11182350"/>
          <a:ext cx="2749550" cy="781050"/>
        </a:xfrm>
        <a:prstGeom prst="wedgeRoundRectCallout">
          <a:avLst>
            <a:gd name="adj1" fmla="val -22912"/>
            <a:gd name="adj2" fmla="val 11128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Inputs above the glazing table:</a:t>
          </a:r>
        </a:p>
        <a:p>
          <a:pPr algn="l"/>
          <a:r>
            <a:rPr lang="en-AU" sz="1100" b="0">
              <a:latin typeface="Arial" panose="020B0604020202020204" pitchFamily="34" charset="0"/>
              <a:ea typeface="Inter" panose="020B0502030000000004" pitchFamily="34" charset="0"/>
              <a:cs typeface="Arial" panose="020B0604020202020204" pitchFamily="34" charset="0"/>
            </a:rPr>
            <a:t>Upper</a:t>
          </a:r>
          <a:r>
            <a:rPr lang="en-AU" sz="1100" b="0" baseline="0">
              <a:latin typeface="Arial" panose="020B0604020202020204" pitchFamily="34" charset="0"/>
              <a:ea typeface="Inter" panose="020B0502030000000004" pitchFamily="34" charset="0"/>
              <a:cs typeface="Arial" panose="020B0604020202020204" pitchFamily="34" charset="0"/>
            </a:rPr>
            <a:t> inputs should be copmleted before listing glazing elements</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2</xdr:col>
      <xdr:colOff>558800</xdr:colOff>
      <xdr:row>53</xdr:row>
      <xdr:rowOff>114300</xdr:rowOff>
    </xdr:from>
    <xdr:to>
      <xdr:col>3</xdr:col>
      <xdr:colOff>914400</xdr:colOff>
      <xdr:row>62</xdr:row>
      <xdr:rowOff>114300</xdr:rowOff>
    </xdr:to>
    <xdr:sp macro="" textlink="">
      <xdr:nvSpPr>
        <xdr:cNvPr id="22" name="Rounded Rectangular Callout 21">
          <a:extLst>
            <a:ext uri="{FF2B5EF4-FFF2-40B4-BE49-F238E27FC236}">
              <a16:creationId xmlns:a16="http://schemas.microsoft.com/office/drawing/2014/main" id="{00000000-0008-0000-0300-000016000000}"/>
            </a:ext>
          </a:extLst>
        </xdr:cNvPr>
        <xdr:cNvSpPr/>
      </xdr:nvSpPr>
      <xdr:spPr>
        <a:xfrm>
          <a:off x="3587750" y="10883900"/>
          <a:ext cx="3092450" cy="1485900"/>
        </a:xfrm>
        <a:prstGeom prst="wedgeRoundRectCallout">
          <a:avLst>
            <a:gd name="adj1" fmla="val -70756"/>
            <a:gd name="adj2" fmla="val 1017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Areas of each floor type for all storeys:</a:t>
          </a:r>
        </a:p>
        <a:p>
          <a:pPr algn="l"/>
          <a:r>
            <a:rPr lang="en-AU" sz="1100" b="0">
              <a:latin typeface="Arial" panose="020B0604020202020204" pitchFamily="34" charset="0"/>
              <a:ea typeface="Inter" panose="020B0502030000000004" pitchFamily="34" charset="0"/>
              <a:cs typeface="Arial" panose="020B0604020202020204" pitchFamily="34" charset="0"/>
            </a:rPr>
            <a:t>An</a:t>
          </a:r>
          <a:r>
            <a:rPr lang="en-AU" sz="1100" b="0" baseline="0">
              <a:latin typeface="Arial" panose="020B0604020202020204" pitchFamily="34" charset="0"/>
              <a:ea typeface="Inter" panose="020B0502030000000004" pitchFamily="34" charset="0"/>
              <a:cs typeface="Arial" panose="020B0604020202020204" pitchFamily="34" charset="0"/>
            </a:rPr>
            <a:t> area must be given for at least on type of floor consturction but a second floor type on the same storey can also be entered. (i.e slab on ground and raised timber floor sections on ground floor of house).</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3</xdr:col>
      <xdr:colOff>876300</xdr:colOff>
      <xdr:row>65</xdr:row>
      <xdr:rowOff>101600</xdr:rowOff>
    </xdr:from>
    <xdr:to>
      <xdr:col>4</xdr:col>
      <xdr:colOff>1314450</xdr:colOff>
      <xdr:row>72</xdr:row>
      <xdr:rowOff>25400</xdr:rowOff>
    </xdr:to>
    <xdr:sp macro="" textlink="">
      <xdr:nvSpPr>
        <xdr:cNvPr id="23" name="Rounded Rectangular Callout 22">
          <a:extLst>
            <a:ext uri="{FF2B5EF4-FFF2-40B4-BE49-F238E27FC236}">
              <a16:creationId xmlns:a16="http://schemas.microsoft.com/office/drawing/2014/main" id="{00000000-0008-0000-0300-000017000000}"/>
            </a:ext>
          </a:extLst>
        </xdr:cNvPr>
        <xdr:cNvSpPr/>
      </xdr:nvSpPr>
      <xdr:spPr>
        <a:xfrm>
          <a:off x="6642100" y="12852400"/>
          <a:ext cx="2374900" cy="1079500"/>
        </a:xfrm>
        <a:prstGeom prst="wedgeRoundRectCallout">
          <a:avLst>
            <a:gd name="adj1" fmla="val -30169"/>
            <a:gd name="adj2" fmla="val 909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1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4</xdr:col>
      <xdr:colOff>1974850</xdr:colOff>
      <xdr:row>61</xdr:row>
      <xdr:rowOff>12700</xdr:rowOff>
    </xdr:from>
    <xdr:to>
      <xdr:col>4</xdr:col>
      <xdr:colOff>4349750</xdr:colOff>
      <xdr:row>68</xdr:row>
      <xdr:rowOff>127000</xdr:rowOff>
    </xdr:to>
    <xdr:sp macro="" textlink="">
      <xdr:nvSpPr>
        <xdr:cNvPr id="24" name="Rounded Rectangular Callout 23">
          <a:extLst>
            <a:ext uri="{FF2B5EF4-FFF2-40B4-BE49-F238E27FC236}">
              <a16:creationId xmlns:a16="http://schemas.microsoft.com/office/drawing/2014/main" id="{00000000-0008-0000-0300-000018000000}"/>
            </a:ext>
          </a:extLst>
        </xdr:cNvPr>
        <xdr:cNvSpPr/>
      </xdr:nvSpPr>
      <xdr:spPr>
        <a:xfrm>
          <a:off x="9677400" y="12103100"/>
          <a:ext cx="2374900" cy="1270000"/>
        </a:xfrm>
        <a:prstGeom prst="wedgeRoundRectCallout">
          <a:avLst>
            <a:gd name="adj1" fmla="val 24644"/>
            <a:gd name="adj2" fmla="val 11032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1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4</xdr:col>
      <xdr:colOff>4467225</xdr:colOff>
      <xdr:row>52</xdr:row>
      <xdr:rowOff>66675</xdr:rowOff>
    </xdr:from>
    <xdr:to>
      <xdr:col>7</xdr:col>
      <xdr:colOff>104775</xdr:colOff>
      <xdr:row>58</xdr:row>
      <xdr:rowOff>66675</xdr:rowOff>
    </xdr:to>
    <xdr:sp macro="" textlink="">
      <xdr:nvSpPr>
        <xdr:cNvPr id="25" name="Rounded Rectangular Callout 24">
          <a:extLst>
            <a:ext uri="{FF2B5EF4-FFF2-40B4-BE49-F238E27FC236}">
              <a16:creationId xmlns:a16="http://schemas.microsoft.com/office/drawing/2014/main" id="{00000000-0008-0000-0300-000019000000}"/>
            </a:ext>
          </a:extLst>
        </xdr:cNvPr>
        <xdr:cNvSpPr/>
      </xdr:nvSpPr>
      <xdr:spPr>
        <a:xfrm>
          <a:off x="12163425" y="10525125"/>
          <a:ext cx="2371725" cy="971550"/>
        </a:xfrm>
        <a:prstGeom prst="wedgeRoundRectCallout">
          <a:avLst>
            <a:gd name="adj1" fmla="val -34447"/>
            <a:gd name="adj2" fmla="val 21159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Glazing allowances:</a:t>
          </a:r>
        </a:p>
        <a:p>
          <a:pPr algn="l"/>
          <a:r>
            <a:rPr lang="en-AU" sz="1100" b="0" baseline="0">
              <a:latin typeface="Arial" panose="020B0604020202020204" pitchFamily="34" charset="0"/>
              <a:ea typeface="Inter" panose="020B0502030000000004" pitchFamily="34" charset="0"/>
              <a:cs typeface="Arial" panose="020B0604020202020204" pitchFamily="34" charset="0"/>
            </a:rPr>
            <a:t>The calculator provides these details once necessary information have been given.</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7</xdr:col>
      <xdr:colOff>330200</xdr:colOff>
      <xdr:row>73</xdr:row>
      <xdr:rowOff>57150</xdr:rowOff>
    </xdr:from>
    <xdr:to>
      <xdr:col>12</xdr:col>
      <xdr:colOff>292100</xdr:colOff>
      <xdr:row>82</xdr:row>
      <xdr:rowOff>133350</xdr:rowOff>
    </xdr:to>
    <xdr:sp macro="" textlink="">
      <xdr:nvSpPr>
        <xdr:cNvPr id="26" name="Rounded Rectangular Callout 25">
          <a:extLst>
            <a:ext uri="{FF2B5EF4-FFF2-40B4-BE49-F238E27FC236}">
              <a16:creationId xmlns:a16="http://schemas.microsoft.com/office/drawing/2014/main" id="{00000000-0008-0000-0300-00001A000000}"/>
            </a:ext>
          </a:extLst>
        </xdr:cNvPr>
        <xdr:cNvSpPr/>
      </xdr:nvSpPr>
      <xdr:spPr>
        <a:xfrm>
          <a:off x="14770100" y="14128750"/>
          <a:ext cx="3009900" cy="1562100"/>
        </a:xfrm>
        <a:prstGeom prst="wedgeRoundRectCallout">
          <a:avLst>
            <a:gd name="adj1" fmla="val -73036"/>
            <a:gd name="adj2" fmla="val -3317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Calculated outcomes:</a:t>
          </a:r>
        </a:p>
        <a:p>
          <a:pPr algn="l"/>
          <a:r>
            <a:rPr lang="en-AU" sz="1100" b="0" baseline="0">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a:r>
            <a:rPr lang="en-AU" sz="1100" b="0" baseline="0">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ighilight failures.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0</xdr:col>
      <xdr:colOff>311150</xdr:colOff>
      <xdr:row>71</xdr:row>
      <xdr:rowOff>82550</xdr:rowOff>
    </xdr:from>
    <xdr:to>
      <xdr:col>1</xdr:col>
      <xdr:colOff>2495550</xdr:colOff>
      <xdr:row>79</xdr:row>
      <xdr:rowOff>38100</xdr:rowOff>
    </xdr:to>
    <xdr:sp macro="" textlink="">
      <xdr:nvSpPr>
        <xdr:cNvPr id="27" name="Rounded Rectangular Callout 26">
          <a:extLst>
            <a:ext uri="{FF2B5EF4-FFF2-40B4-BE49-F238E27FC236}">
              <a16:creationId xmlns:a16="http://schemas.microsoft.com/office/drawing/2014/main" id="{00000000-0008-0000-0300-00001B000000}"/>
            </a:ext>
          </a:extLst>
        </xdr:cNvPr>
        <xdr:cNvSpPr/>
      </xdr:nvSpPr>
      <xdr:spPr>
        <a:xfrm>
          <a:off x="311150" y="13823950"/>
          <a:ext cx="2603500" cy="1276350"/>
        </a:xfrm>
        <a:prstGeom prst="wedgeRoundRectCallout">
          <a:avLst>
            <a:gd name="adj1" fmla="val 31473"/>
            <a:gd name="adj2" fmla="val 10136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Inputs to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Rows remain hatched until the facing sector input has been given. Yellow filled cells in each row except inputs. </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1</xdr:col>
      <xdr:colOff>209550</xdr:colOff>
      <xdr:row>89</xdr:row>
      <xdr:rowOff>114300</xdr:rowOff>
    </xdr:from>
    <xdr:to>
      <xdr:col>2</xdr:col>
      <xdr:colOff>615950</xdr:colOff>
      <xdr:row>98</xdr:row>
      <xdr:rowOff>76200</xdr:rowOff>
    </xdr:to>
    <xdr:sp macro="" textlink="">
      <xdr:nvSpPr>
        <xdr:cNvPr id="28" name="Rounded Rectangular Callout 27">
          <a:extLst>
            <a:ext uri="{FF2B5EF4-FFF2-40B4-BE49-F238E27FC236}">
              <a16:creationId xmlns:a16="http://schemas.microsoft.com/office/drawing/2014/main" id="{00000000-0008-0000-0300-00001C000000}"/>
            </a:ext>
          </a:extLst>
        </xdr:cNvPr>
        <xdr:cNvSpPr/>
      </xdr:nvSpPr>
      <xdr:spPr>
        <a:xfrm>
          <a:off x="628650" y="16827500"/>
          <a:ext cx="3016250" cy="1447800"/>
        </a:xfrm>
        <a:prstGeom prst="wedgeRoundRectCallout">
          <a:avLst>
            <a:gd name="adj1" fmla="val 52792"/>
            <a:gd name="adj2" fmla="val -9521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Glazing area:</a:t>
          </a:r>
        </a:p>
        <a:p>
          <a:pPr algn="l"/>
          <a:r>
            <a:rPr lang="en-AU" sz="1100" b="0" baseline="0">
              <a:latin typeface="Arial" panose="020B0604020202020204" pitchFamily="34" charset="0"/>
              <a:ea typeface="Inter" panose="020B0502030000000004" pitchFamily="34" charset="0"/>
              <a:cs typeface="Arial" panose="020B0604020202020204" pitchFamily="34" charset="0"/>
            </a:rPr>
            <a:t>Window glazing size can be defined either by using height and width or height and area.  The calculator will use whichever combination provides the greater area. The unused cell will be greyed out.</a:t>
          </a:r>
        </a:p>
        <a:p>
          <a:pPr algn="l"/>
          <a:r>
            <a:rPr lang="en-AU" sz="1100" b="0" baseline="0">
              <a:latin typeface="Arial" panose="020B0604020202020204" pitchFamily="34" charset="0"/>
              <a:ea typeface="Inter" panose="020B0502030000000004" pitchFamily="34" charset="0"/>
              <a:cs typeface="Arial" panose="020B0604020202020204" pitchFamily="34" charset="0"/>
            </a:rPr>
            <a:t>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177800</xdr:colOff>
      <xdr:row>100</xdr:row>
      <xdr:rowOff>146050</xdr:rowOff>
    </xdr:from>
    <xdr:to>
      <xdr:col>1</xdr:col>
      <xdr:colOff>2324100</xdr:colOff>
      <xdr:row>107</xdr:row>
      <xdr:rowOff>152400</xdr:rowOff>
    </xdr:to>
    <xdr:sp macro="" textlink="">
      <xdr:nvSpPr>
        <xdr:cNvPr id="30" name="Rounded Rectangular Callout 29">
          <a:extLst>
            <a:ext uri="{FF2B5EF4-FFF2-40B4-BE49-F238E27FC236}">
              <a16:creationId xmlns:a16="http://schemas.microsoft.com/office/drawing/2014/main" id="{00000000-0008-0000-0300-00001E000000}"/>
            </a:ext>
          </a:extLst>
        </xdr:cNvPr>
        <xdr:cNvSpPr/>
      </xdr:nvSpPr>
      <xdr:spPr>
        <a:xfrm>
          <a:off x="596900" y="18738850"/>
          <a:ext cx="2146300" cy="1162050"/>
        </a:xfrm>
        <a:prstGeom prst="wedgeRoundRectCallout">
          <a:avLst>
            <a:gd name="adj1" fmla="val 47644"/>
            <a:gd name="adj2" fmla="val 10844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Red text highlight inputs missing after glazing elements have been listed.</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3</xdr:col>
      <xdr:colOff>1733550</xdr:colOff>
      <xdr:row>101</xdr:row>
      <xdr:rowOff>25400</xdr:rowOff>
    </xdr:from>
    <xdr:to>
      <xdr:col>4</xdr:col>
      <xdr:colOff>2990850</xdr:colOff>
      <xdr:row>110</xdr:row>
      <xdr:rowOff>25400</xdr:rowOff>
    </xdr:to>
    <xdr:sp macro="" textlink="">
      <xdr:nvSpPr>
        <xdr:cNvPr id="31" name="Rounded Rectangular Callout 30">
          <a:extLst>
            <a:ext uri="{FF2B5EF4-FFF2-40B4-BE49-F238E27FC236}">
              <a16:creationId xmlns:a16="http://schemas.microsoft.com/office/drawing/2014/main" id="{00000000-0008-0000-0300-00001F000000}"/>
            </a:ext>
          </a:extLst>
        </xdr:cNvPr>
        <xdr:cNvSpPr/>
      </xdr:nvSpPr>
      <xdr:spPr>
        <a:xfrm>
          <a:off x="7499350" y="18783300"/>
          <a:ext cx="3194050" cy="1485900"/>
        </a:xfrm>
        <a:prstGeom prst="wedgeRoundRectCallout">
          <a:avLst>
            <a:gd name="adj1" fmla="val -69649"/>
            <a:gd name="adj2" fmla="val 86884"/>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If you have a two or more storey dwelling and the area of the upper floors have not been entered, or windows have not been allocated to upper floors, these message will appear to alert you.</a:t>
          </a:r>
        </a:p>
        <a:p>
          <a:pPr algn="l"/>
          <a:r>
            <a:rPr lang="en-AU" sz="1100" b="0" baseline="0">
              <a:latin typeface="Arial" panose="020B0604020202020204" pitchFamily="34" charset="0"/>
              <a:ea typeface="Inter" panose="020B0502030000000004" pitchFamily="34" charset="0"/>
              <a:cs typeface="Arial" panose="020B0604020202020204" pitchFamily="34" charset="0"/>
            </a:rPr>
            <a:t>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533400</xdr:colOff>
      <xdr:row>87</xdr:row>
      <xdr:rowOff>31750</xdr:rowOff>
    </xdr:from>
    <xdr:to>
      <xdr:col>4</xdr:col>
      <xdr:colOff>1784350</xdr:colOff>
      <xdr:row>93</xdr:row>
      <xdr:rowOff>146050</xdr:rowOff>
    </xdr:to>
    <xdr:sp macro="" textlink="">
      <xdr:nvSpPr>
        <xdr:cNvPr id="32" name="Rounded Rectangular Callout 31">
          <a:extLst>
            <a:ext uri="{FF2B5EF4-FFF2-40B4-BE49-F238E27FC236}">
              <a16:creationId xmlns:a16="http://schemas.microsoft.com/office/drawing/2014/main" id="{00000000-0008-0000-0300-000020000000}"/>
            </a:ext>
          </a:extLst>
        </xdr:cNvPr>
        <xdr:cNvSpPr/>
      </xdr:nvSpPr>
      <xdr:spPr>
        <a:xfrm>
          <a:off x="6299200" y="16414750"/>
          <a:ext cx="3187700" cy="1104900"/>
        </a:xfrm>
        <a:prstGeom prst="wedgeRoundRectCallout">
          <a:avLst>
            <a:gd name="adj1" fmla="val 76604"/>
            <a:gd name="adj2" fmla="val -5136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Messages within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Each message here refers to the individual row in which it apears. The text will alert you two what your issues is.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5133975</xdr:colOff>
      <xdr:row>111</xdr:row>
      <xdr:rowOff>85725</xdr:rowOff>
    </xdr:from>
    <xdr:to>
      <xdr:col>8</xdr:col>
      <xdr:colOff>161925</xdr:colOff>
      <xdr:row>118</xdr:row>
      <xdr:rowOff>9525</xdr:rowOff>
    </xdr:to>
    <xdr:sp macro="" textlink="">
      <xdr:nvSpPr>
        <xdr:cNvPr id="33" name="Rounded Rectangular Callout 32">
          <a:extLst>
            <a:ext uri="{FF2B5EF4-FFF2-40B4-BE49-F238E27FC236}">
              <a16:creationId xmlns:a16="http://schemas.microsoft.com/office/drawing/2014/main" id="{00000000-0008-0000-0300-000021000000}"/>
            </a:ext>
          </a:extLst>
        </xdr:cNvPr>
        <xdr:cNvSpPr/>
      </xdr:nvSpPr>
      <xdr:spPr>
        <a:xfrm>
          <a:off x="12830175" y="20164425"/>
          <a:ext cx="2371725" cy="1057275"/>
        </a:xfrm>
        <a:prstGeom prst="wedgeRoundRectCallout">
          <a:avLst>
            <a:gd name="adj1" fmla="val -31239"/>
            <a:gd name="adj2" fmla="val 135029"/>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#DIV0 message within the coutcomes section:</a:t>
          </a:r>
        </a:p>
        <a:p>
          <a:pPr algn="l"/>
          <a:r>
            <a:rPr lang="en-AU" sz="1100" b="0" baseline="0">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editAs="oneCell">
    <xdr:from>
      <xdr:col>3</xdr:col>
      <xdr:colOff>1202818</xdr:colOff>
      <xdr:row>10</xdr:row>
      <xdr:rowOff>158750</xdr:rowOff>
    </xdr:from>
    <xdr:to>
      <xdr:col>4</xdr:col>
      <xdr:colOff>145433</xdr:colOff>
      <xdr:row>12</xdr:row>
      <xdr:rowOff>22202</xdr:rowOff>
    </xdr:to>
    <xdr:pic>
      <xdr:nvPicPr>
        <xdr:cNvPr id="2" name="Picture 1">
          <a:extLst>
            <a:ext uri="{FF2B5EF4-FFF2-40B4-BE49-F238E27FC236}">
              <a16:creationId xmlns:a16="http://schemas.microsoft.com/office/drawing/2014/main" id="{F2161F02-16C5-43CA-B2C4-04A48A02401C}"/>
            </a:ext>
          </a:extLst>
        </xdr:cNvPr>
        <xdr:cNvPicPr>
          <a:picLocks noChangeAspect="1"/>
        </xdr:cNvPicPr>
      </xdr:nvPicPr>
      <xdr:blipFill>
        <a:blip xmlns:r="http://schemas.openxmlformats.org/officeDocument/2006/relationships" r:embed="rId7"/>
        <a:stretch>
          <a:fillRect/>
        </a:stretch>
      </xdr:blipFill>
      <xdr:spPr>
        <a:xfrm>
          <a:off x="6965443" y="3749675"/>
          <a:ext cx="876190" cy="187302"/>
        </a:xfrm>
        <a:prstGeom prst="rect">
          <a:avLst/>
        </a:prstGeom>
      </xdr:spPr>
    </xdr:pic>
    <xdr:clientData/>
  </xdr:twoCellAnchor>
  <xdr:twoCellAnchor editAs="oneCell">
    <xdr:from>
      <xdr:col>3</xdr:col>
      <xdr:colOff>1058262</xdr:colOff>
      <xdr:row>57</xdr:row>
      <xdr:rowOff>82550</xdr:rowOff>
    </xdr:from>
    <xdr:to>
      <xdr:col>3</xdr:col>
      <xdr:colOff>1931277</xdr:colOff>
      <xdr:row>58</xdr:row>
      <xdr:rowOff>107927</xdr:rowOff>
    </xdr:to>
    <xdr:pic>
      <xdr:nvPicPr>
        <xdr:cNvPr id="3" name="Picture 2">
          <a:extLst>
            <a:ext uri="{FF2B5EF4-FFF2-40B4-BE49-F238E27FC236}">
              <a16:creationId xmlns:a16="http://schemas.microsoft.com/office/drawing/2014/main" id="{DD2C3FFC-E2DF-453F-8574-F069E529A21A}"/>
            </a:ext>
          </a:extLst>
        </xdr:cNvPr>
        <xdr:cNvPicPr>
          <a:picLocks noChangeAspect="1"/>
        </xdr:cNvPicPr>
      </xdr:nvPicPr>
      <xdr:blipFill>
        <a:blip xmlns:r="http://schemas.openxmlformats.org/officeDocument/2006/relationships" r:embed="rId7"/>
        <a:stretch>
          <a:fillRect/>
        </a:stretch>
      </xdr:blipFill>
      <xdr:spPr>
        <a:xfrm>
          <a:off x="6820887" y="11350625"/>
          <a:ext cx="873015" cy="187302"/>
        </a:xfrm>
        <a:prstGeom prst="rect">
          <a:avLst/>
        </a:prstGeom>
      </xdr:spPr>
    </xdr:pic>
    <xdr:clientData/>
  </xdr:twoCellAnchor>
  <xdr:twoCellAnchor editAs="oneCell">
    <xdr:from>
      <xdr:col>3</xdr:col>
      <xdr:colOff>854075</xdr:colOff>
      <xdr:row>105</xdr:row>
      <xdr:rowOff>15875</xdr:rowOff>
    </xdr:from>
    <xdr:to>
      <xdr:col>3</xdr:col>
      <xdr:colOff>1736615</xdr:colOff>
      <xdr:row>106</xdr:row>
      <xdr:rowOff>41252</xdr:rowOff>
    </xdr:to>
    <xdr:pic>
      <xdr:nvPicPr>
        <xdr:cNvPr id="4" name="Picture 3">
          <a:extLst>
            <a:ext uri="{FF2B5EF4-FFF2-40B4-BE49-F238E27FC236}">
              <a16:creationId xmlns:a16="http://schemas.microsoft.com/office/drawing/2014/main" id="{0BD90E79-51B0-4744-ACA5-672DB642C98F}"/>
            </a:ext>
          </a:extLst>
        </xdr:cNvPr>
        <xdr:cNvPicPr>
          <a:picLocks noChangeAspect="1"/>
        </xdr:cNvPicPr>
      </xdr:nvPicPr>
      <xdr:blipFill>
        <a:blip xmlns:r="http://schemas.openxmlformats.org/officeDocument/2006/relationships" r:embed="rId7"/>
        <a:stretch>
          <a:fillRect/>
        </a:stretch>
      </xdr:blipFill>
      <xdr:spPr>
        <a:xfrm>
          <a:off x="6616700" y="19123025"/>
          <a:ext cx="882540" cy="1873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52400" y="904875"/>
          <a:ext cx="1777999" cy="273050"/>
        </a:xfrm>
        <a:prstGeom prst="roundRect">
          <a:avLst>
            <a:gd name="adj" fmla="val 21741"/>
          </a:avLst>
        </a:prstGeom>
        <a:solidFill>
          <a:srgbClr val="485CC7"/>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Return to calculator</a:t>
          </a: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059789FD-D2EB-459D-AEEF-9BD3AA2A9070}" userId="44ea598ef6e2e6e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S19" dT="2022-04-25T07:59:55.79" personId="{059789FD-D2EB-459D-AEEF-9BD3AA2A9070}" id="{F280091B-F37D-44D6-8265-BA30D2815902}">
    <text>TI: added BM to BP to stop entry of "device" at Q reducing winter heat gain. Sets P/H to zero. Ideally, would have both projection details and device details in a separate column. 
 25/4/22</text>
  </threadedComment>
  <threadedComment ref="CS19" dT="2022-04-25T07:59:01.54" personId="{059789FD-D2EB-459D-AEEF-9BD3AA2A9070}" id="{000EB859-CC1E-422C-A4DF-A50FC3672055}">
    <text>TI: fixed error in openability lookup, incomplete if statement, 22/4/22</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outlinePr showOutlineSymbols="0"/>
    <pageSetUpPr autoPageBreaks="0" fitToPage="1"/>
  </sheetPr>
  <dimension ref="A1:ED205"/>
  <sheetViews>
    <sheetView showGridLines="0" showRowColHeaders="0" tabSelected="1" zoomScale="55" zoomScaleNormal="55" workbookViewId="0">
      <selection activeCell="B4" sqref="B4:H4"/>
    </sheetView>
  </sheetViews>
  <sheetFormatPr defaultColWidth="8.7265625" defaultRowHeight="13" x14ac:dyDescent="0.3"/>
  <cols>
    <col min="1" max="1" width="1.7265625" style="667" customWidth="1"/>
    <col min="2" max="2" width="2.453125" style="667" customWidth="1"/>
    <col min="3" max="4" width="13.453125" style="667" customWidth="1"/>
    <col min="5" max="5" width="21.453125" style="667" customWidth="1"/>
    <col min="6" max="10" width="13.453125" style="667" customWidth="1"/>
    <col min="11" max="11" width="27" style="667" bestFit="1" customWidth="1"/>
    <col min="12" max="12" width="25.453125" style="667" bestFit="1" customWidth="1"/>
    <col min="13" max="13" width="13.453125" style="667" customWidth="1"/>
    <col min="14" max="14" width="23.453125" style="667" bestFit="1" customWidth="1"/>
    <col min="15" max="21" width="13.453125" style="667" customWidth="1"/>
    <col min="22" max="22" width="19.7265625" style="667" customWidth="1"/>
    <col min="23" max="23" width="21.1796875" style="667" customWidth="1"/>
    <col min="24" max="24" width="17.1796875" style="667" customWidth="1"/>
    <col min="25" max="25" width="19.453125" style="667" bestFit="1" customWidth="1"/>
    <col min="26" max="26" width="10.453125" style="667" customWidth="1"/>
    <col min="27" max="54" width="13.453125" style="389" hidden="1" customWidth="1"/>
    <col min="55" max="55" width="53.81640625" style="389" hidden="1" customWidth="1"/>
    <col min="56" max="77" width="13.453125" style="389" hidden="1" customWidth="1"/>
    <col min="78" max="78" width="35.1796875" style="389" hidden="1" customWidth="1"/>
    <col min="79" max="98" width="13.453125" style="389" hidden="1" customWidth="1"/>
    <col min="99" max="101" width="9.26953125" style="389" hidden="1" customWidth="1"/>
    <col min="102" max="102" width="19" style="389" hidden="1" customWidth="1"/>
    <col min="103" max="107" width="9.26953125" style="389" hidden="1" customWidth="1"/>
    <col min="108" max="108" width="16.26953125" style="389" hidden="1" customWidth="1"/>
    <col min="109" max="131" width="9.26953125" style="389" hidden="1" customWidth="1"/>
    <col min="132" max="132" width="9.1796875" style="517" hidden="1" customWidth="1"/>
    <col min="133" max="134" width="8.7265625" style="517" hidden="1" customWidth="1"/>
    <col min="135" max="16384" width="8.7265625" style="667"/>
  </cols>
  <sheetData>
    <row r="1" spans="1:131" ht="161.5" customHeight="1" x14ac:dyDescent="0.5">
      <c r="A1" s="663"/>
      <c r="B1" s="664"/>
      <c r="C1" s="665"/>
      <c r="D1" s="665"/>
      <c r="E1" s="665"/>
      <c r="F1" s="666"/>
      <c r="G1" s="666"/>
      <c r="H1" s="666"/>
      <c r="I1" s="666"/>
      <c r="J1" s="666"/>
      <c r="K1" s="666"/>
      <c r="L1" s="666"/>
      <c r="M1" s="666"/>
      <c r="N1" s="666"/>
      <c r="O1" s="666"/>
      <c r="P1" s="666"/>
      <c r="Q1" s="666"/>
      <c r="R1" s="666"/>
      <c r="S1" s="666"/>
      <c r="T1" s="666"/>
      <c r="U1" s="666"/>
      <c r="V1" s="666"/>
      <c r="W1" s="666"/>
      <c r="X1" s="666"/>
      <c r="Y1" s="666"/>
      <c r="AA1" s="382"/>
      <c r="AB1" s="382" t="s">
        <v>459</v>
      </c>
      <c r="AC1" s="383"/>
      <c r="AD1" s="384" t="s">
        <v>54</v>
      </c>
      <c r="AE1" s="384"/>
      <c r="AF1" s="384"/>
      <c r="AG1" s="382"/>
      <c r="AH1" s="385" t="s">
        <v>55</v>
      </c>
      <c r="AI1" s="386" t="e">
        <f>ROUND(AreaA/(AreaA+AreaB),2)</f>
        <v>#DIV/0!</v>
      </c>
      <c r="AJ1" s="385" t="s">
        <v>56</v>
      </c>
      <c r="AK1" s="386" t="e">
        <f>ROUND(AreaB/(AreaA+AreaB),2)</f>
        <v>#DIV/0!</v>
      </c>
      <c r="AL1" s="387" t="s">
        <v>57</v>
      </c>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2"/>
      <c r="CA1" s="382"/>
      <c r="CB1" s="382"/>
      <c r="CC1" s="388" t="s">
        <v>58</v>
      </c>
      <c r="CD1" s="382"/>
      <c r="CE1" s="382"/>
      <c r="CF1" s="382"/>
      <c r="CG1" s="383"/>
      <c r="CH1" s="383"/>
      <c r="CI1" s="383"/>
      <c r="CJ1" s="383"/>
      <c r="CK1" s="383"/>
      <c r="CL1" s="382"/>
      <c r="CM1" s="382"/>
      <c r="CN1" s="382"/>
      <c r="CO1" s="382"/>
      <c r="CP1" s="382"/>
      <c r="CQ1" s="382"/>
      <c r="CR1" s="382"/>
      <c r="CS1" s="382"/>
      <c r="CT1" s="382"/>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c r="DY1" s="382"/>
      <c r="DZ1" s="382"/>
      <c r="EA1" s="382"/>
    </row>
    <row r="2" spans="1:131" ht="37.5" customHeight="1" x14ac:dyDescent="0.3">
      <c r="A2" s="804" t="s">
        <v>0</v>
      </c>
      <c r="B2" s="804"/>
      <c r="C2" s="804"/>
      <c r="D2" s="804"/>
      <c r="E2" s="804"/>
      <c r="F2" s="804"/>
      <c r="G2" s="804"/>
      <c r="H2" s="804"/>
      <c r="I2" s="804"/>
      <c r="J2" s="804"/>
      <c r="K2" s="804"/>
      <c r="L2" s="804"/>
      <c r="M2" s="804"/>
      <c r="N2" s="804"/>
      <c r="O2" s="804"/>
      <c r="P2" s="804"/>
      <c r="Q2" s="804"/>
      <c r="R2" s="804"/>
      <c r="S2" s="804"/>
      <c r="T2" s="804"/>
      <c r="U2" s="804"/>
      <c r="V2" s="804"/>
      <c r="W2" s="804"/>
      <c r="X2" s="804"/>
      <c r="Y2" s="804"/>
      <c r="Z2" s="668"/>
      <c r="AA2" s="382"/>
      <c r="AB2" s="382">
        <f>SUMIF(K20:K99,"=Upper",U20:U99)</f>
        <v>0</v>
      </c>
      <c r="AC2" s="383"/>
      <c r="AD2" s="382"/>
      <c r="AE2" s="382"/>
      <c r="AF2" s="382"/>
      <c r="AG2" s="382"/>
      <c r="AH2" s="390" t="s">
        <v>499</v>
      </c>
      <c r="AI2" s="382"/>
      <c r="AJ2" s="390" t="s">
        <v>498</v>
      </c>
      <c r="AK2" s="382"/>
      <c r="AL2" s="382"/>
      <c r="AM2" s="382"/>
      <c r="AN2" s="382"/>
      <c r="AO2" s="383"/>
      <c r="AP2" s="383"/>
      <c r="AQ2" s="383"/>
      <c r="AR2" s="383"/>
      <c r="AS2" s="383"/>
      <c r="AT2" s="383"/>
      <c r="AU2" s="383"/>
      <c r="AV2" s="383"/>
      <c r="AW2" s="383"/>
      <c r="AX2" s="383"/>
      <c r="AY2" s="383"/>
      <c r="AZ2" s="383"/>
      <c r="BA2" s="383"/>
      <c r="BB2" s="383"/>
      <c r="BC2" s="383"/>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row>
    <row r="3" spans="1:131" ht="44.25" customHeight="1" thickBot="1" x14ac:dyDescent="0.55000000000000004">
      <c r="A3" s="109"/>
      <c r="B3" s="109"/>
      <c r="C3" s="109"/>
      <c r="D3" s="109"/>
      <c r="E3" s="109"/>
      <c r="F3" s="109"/>
      <c r="G3" s="109"/>
      <c r="H3" s="109"/>
      <c r="I3" s="109"/>
      <c r="J3" s="109"/>
      <c r="K3" s="109"/>
      <c r="L3" s="109"/>
      <c r="M3" s="109"/>
      <c r="N3" s="109"/>
      <c r="O3" s="109"/>
      <c r="P3" s="109"/>
      <c r="Q3" s="109"/>
      <c r="R3" s="109"/>
      <c r="S3" s="109"/>
      <c r="T3" s="669" t="str">
        <f>IF(AND(F138=FALSE,NoZoneTableActive=FALSE),"Climate zone","ENTER CLIMATE ZONE BELOW")</f>
        <v>Climate zone</v>
      </c>
      <c r="U3" s="109"/>
      <c r="V3" s="815" t="str">
        <f>IF(COUNT(F7:F11)&gt;1,"FLOOR WEIGHTED ","")&amp;"Constants:"</f>
        <v>Constants:</v>
      </c>
      <c r="W3" s="815"/>
      <c r="X3" s="670" t="s">
        <v>598</v>
      </c>
      <c r="Y3" s="671" t="s">
        <v>599</v>
      </c>
      <c r="Z3" s="111"/>
      <c r="AA3" s="382"/>
      <c r="AB3" s="382"/>
      <c r="AC3" s="382"/>
      <c r="AD3" s="382"/>
      <c r="AE3" s="382"/>
      <c r="AF3" s="382"/>
      <c r="AG3" s="382"/>
      <c r="AH3" s="393" t="s">
        <v>59</v>
      </c>
      <c r="AI3" s="393" t="s">
        <v>60</v>
      </c>
      <c r="AJ3" s="393" t="s">
        <v>61</v>
      </c>
      <c r="AK3" s="393" t="s">
        <v>62</v>
      </c>
      <c r="AL3" s="394" t="s">
        <v>63</v>
      </c>
      <c r="AM3" s="382"/>
      <c r="AN3" s="382"/>
      <c r="AO3" s="383"/>
      <c r="AP3" s="383"/>
      <c r="AQ3" s="383"/>
      <c r="AR3" s="383"/>
      <c r="AS3" s="383"/>
      <c r="AT3" s="383"/>
      <c r="AU3" s="383"/>
      <c r="AV3" s="383"/>
      <c r="AW3" s="383"/>
      <c r="AX3" s="383"/>
      <c r="AY3" s="383"/>
      <c r="AZ3" s="383"/>
      <c r="BA3" s="383"/>
      <c r="BB3" s="383"/>
      <c r="BC3" s="383"/>
      <c r="BD3" s="382"/>
      <c r="BE3" s="382"/>
      <c r="BF3" s="382"/>
      <c r="BG3" s="382"/>
      <c r="BH3" s="382"/>
      <c r="BI3" s="382"/>
      <c r="BJ3" s="382"/>
      <c r="BK3" s="382"/>
      <c r="BL3" s="382"/>
      <c r="BM3" s="382"/>
      <c r="BN3" s="382"/>
      <c r="BO3" s="382"/>
      <c r="BP3" s="382"/>
      <c r="BQ3" s="382"/>
      <c r="BR3" s="382"/>
      <c r="BS3" s="382"/>
      <c r="BT3" s="382"/>
      <c r="BU3" s="382"/>
      <c r="BV3" s="382"/>
      <c r="BW3" s="382"/>
      <c r="BX3" s="382"/>
      <c r="BY3" s="382"/>
      <c r="BZ3" s="382"/>
      <c r="CA3" s="382"/>
      <c r="CB3" s="382"/>
      <c r="CC3" s="395" t="s">
        <v>64</v>
      </c>
      <c r="CD3" s="395" t="s">
        <v>65</v>
      </c>
      <c r="CE3" s="382"/>
      <c r="CF3" s="382"/>
      <c r="CG3" s="382"/>
      <c r="CH3" s="382"/>
      <c r="CI3" s="382"/>
      <c r="CJ3" s="396"/>
      <c r="CK3" s="382"/>
      <c r="CL3" s="382"/>
      <c r="CM3" s="382"/>
      <c r="CN3" s="382"/>
      <c r="CO3" s="382"/>
      <c r="CP3" s="382"/>
      <c r="CQ3" s="382"/>
      <c r="CR3" s="382"/>
      <c r="CS3" s="382"/>
      <c r="CT3" s="382"/>
      <c r="CU3" s="382"/>
      <c r="CV3" s="382"/>
      <c r="CW3" s="382"/>
      <c r="CX3" s="382"/>
      <c r="CY3" s="382"/>
      <c r="CZ3" s="382"/>
      <c r="DA3" s="382"/>
      <c r="DB3" s="382"/>
      <c r="DC3" s="382"/>
      <c r="DD3" s="382"/>
      <c r="DE3" s="382"/>
      <c r="DF3" s="382"/>
      <c r="DG3" s="382"/>
      <c r="DH3" s="382"/>
      <c r="DI3" s="382"/>
      <c r="DJ3" s="382"/>
      <c r="DK3" s="382"/>
      <c r="DL3" s="382"/>
      <c r="DM3" s="382"/>
      <c r="DN3" s="382"/>
      <c r="DO3" s="382"/>
      <c r="DP3" s="382"/>
      <c r="DQ3" s="382"/>
      <c r="DR3" s="382"/>
      <c r="DS3" s="382"/>
      <c r="DT3" s="382"/>
      <c r="DU3" s="382"/>
      <c r="DV3" s="382"/>
      <c r="DW3" s="382"/>
      <c r="DX3" s="382"/>
      <c r="DY3" s="382"/>
      <c r="DZ3" s="382"/>
      <c r="EA3" s="382"/>
    </row>
    <row r="4" spans="1:131" ht="18.5" thickBot="1" x14ac:dyDescent="0.4">
      <c r="A4" s="109"/>
      <c r="B4" s="808"/>
      <c r="C4" s="809"/>
      <c r="D4" s="809"/>
      <c r="E4" s="809"/>
      <c r="F4" s="809"/>
      <c r="G4" s="809"/>
      <c r="H4" s="810"/>
      <c r="I4" s="109"/>
      <c r="J4" s="109"/>
      <c r="K4" s="109"/>
      <c r="L4" s="109"/>
      <c r="M4" s="109"/>
      <c r="N4" s="109"/>
      <c r="O4" s="109"/>
      <c r="P4" s="109"/>
      <c r="Q4" s="109"/>
      <c r="R4" s="109"/>
      <c r="S4" s="672"/>
      <c r="T4" s="673"/>
      <c r="U4" s="109"/>
      <c r="V4" s="109"/>
      <c r="W4" s="674"/>
      <c r="X4" s="675" t="e">
        <f>IF(Zone=1,"N/A",CuWeighted)</f>
        <v>#DIV/0!</v>
      </c>
      <c r="Y4" s="676" t="e">
        <f>CshgcWeighted</f>
        <v>#DIV/0!</v>
      </c>
      <c r="Z4" s="111"/>
      <c r="AA4" s="382"/>
      <c r="AB4" s="382"/>
      <c r="AC4" s="382"/>
      <c r="AD4" s="382"/>
      <c r="AE4" s="382"/>
      <c r="AF4" s="382"/>
      <c r="AG4" s="397" t="s">
        <v>66</v>
      </c>
      <c r="AH4" s="398">
        <f>IF(AND(Zone&gt;0,ActiveA=TRUE),INDEX(ConstantsA,1,Zone_Col,1),0)</f>
        <v>0</v>
      </c>
      <c r="AI4" s="399">
        <f>IF(AND(Zone&gt;0,ActiveA=TRUE),INDEX(ConstantsA,2,Zone_Col,1),0)</f>
        <v>0</v>
      </c>
      <c r="AJ4" s="400">
        <f>IF(AND(Zone&gt;0,ActiveB=TRUE),INDEX(ConstantsB,1,Zone_Col,1),0)</f>
        <v>0</v>
      </c>
      <c r="AK4" s="401">
        <f>IF(AND(Zone&gt;0,ActiveB=TRUE),INDEX(ConstantsB,2,Zone_Col,1),0)</f>
        <v>0</v>
      </c>
      <c r="AL4" s="387" t="s">
        <v>67</v>
      </c>
      <c r="AM4" s="394" t="s">
        <v>68</v>
      </c>
      <c r="AN4" s="382"/>
      <c r="AO4" s="383"/>
      <c r="AP4" s="383"/>
      <c r="AQ4" s="383"/>
      <c r="AR4" s="383"/>
      <c r="AS4" s="383"/>
      <c r="AT4" s="383"/>
      <c r="AU4" s="383"/>
      <c r="AV4" s="383"/>
      <c r="AW4" s="383"/>
      <c r="AX4" s="383"/>
      <c r="AY4" s="383"/>
      <c r="AZ4" s="383"/>
      <c r="BA4" s="402">
        <f t="array" ref="BA4">COUNT(IF(BA20:BA99&gt;0,IF(AI20:AI99=FALSE,BA20:BA99)))+UpperInputsIssues</f>
        <v>0</v>
      </c>
      <c r="BB4" s="387" t="s">
        <v>69</v>
      </c>
      <c r="BC4" s="387"/>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403">
        <f>IF(ConductanceAccess=0,0,SUMIF(AI20:AI99,"=true",CC20:CC99)/ConductanceAccess)</f>
        <v>0</v>
      </c>
      <c r="CD4" s="403">
        <f>SUMIF(AI20:AI99,"=true",CD20:CD99)</f>
        <v>0</v>
      </c>
      <c r="CE4" s="404" t="s">
        <v>70</v>
      </c>
      <c r="CF4" s="382"/>
      <c r="CG4" s="382"/>
      <c r="CH4" s="382"/>
      <c r="CI4" s="382"/>
      <c r="CJ4" s="396"/>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row>
    <row r="5" spans="1:131" customFormat="1" ht="13.5" hidden="1" customHeight="1" thickBot="1" x14ac:dyDescent="0.35">
      <c r="A5" s="24"/>
      <c r="B5" s="105"/>
      <c r="C5" s="106"/>
      <c r="D5" s="106"/>
      <c r="E5" s="106"/>
      <c r="F5" s="106"/>
      <c r="G5" s="106"/>
      <c r="H5" s="106"/>
      <c r="I5" s="106"/>
      <c r="J5" s="106"/>
      <c r="K5" s="106"/>
      <c r="L5" s="106"/>
      <c r="M5" s="106"/>
      <c r="N5" s="106"/>
      <c r="O5" s="106"/>
      <c r="P5" s="106"/>
      <c r="Q5" s="106"/>
      <c r="R5" s="106"/>
      <c r="S5" s="107"/>
      <c r="T5" s="94"/>
      <c r="U5" s="24"/>
      <c r="V5" s="24"/>
      <c r="W5" s="381"/>
      <c r="X5" s="80"/>
      <c r="Y5" s="80"/>
      <c r="Z5" s="5"/>
      <c r="AA5" s="2"/>
      <c r="AB5" s="98"/>
      <c r="AC5" s="98"/>
      <c r="AD5" s="98"/>
      <c r="AE5" s="98"/>
      <c r="AF5" s="98"/>
      <c r="AG5" s="98"/>
      <c r="AH5" s="98"/>
      <c r="AI5" s="98"/>
      <c r="AJ5" s="98"/>
      <c r="AK5" s="98"/>
      <c r="AL5" s="100"/>
      <c r="AM5" s="104"/>
      <c r="AN5" s="98"/>
      <c r="AO5" s="101"/>
      <c r="AP5" s="101"/>
      <c r="AQ5" s="101"/>
      <c r="AR5" s="101"/>
      <c r="AS5" s="101"/>
      <c r="AT5" s="101"/>
      <c r="AU5" s="101"/>
      <c r="AV5" s="101"/>
      <c r="AW5" s="101"/>
      <c r="AX5" s="101"/>
      <c r="AY5" s="101"/>
      <c r="AZ5" s="101"/>
      <c r="BA5" s="101"/>
      <c r="BB5" s="101"/>
      <c r="BC5" s="101"/>
      <c r="BD5" s="101"/>
      <c r="BE5" s="101"/>
      <c r="BF5" s="101"/>
      <c r="BG5" s="101"/>
      <c r="BH5" s="4"/>
      <c r="BI5" s="101"/>
      <c r="BJ5" s="101"/>
      <c r="BK5" s="101"/>
      <c r="BL5" s="101"/>
      <c r="BM5" s="101"/>
      <c r="BN5" s="101"/>
      <c r="BO5" s="101"/>
      <c r="BP5" s="101"/>
      <c r="BQ5" s="101"/>
      <c r="BR5" s="101"/>
      <c r="BS5" s="101"/>
      <c r="BT5" s="101"/>
      <c r="BU5" s="101"/>
      <c r="BV5" s="101"/>
      <c r="BW5" s="101"/>
      <c r="BX5" s="101"/>
      <c r="BY5" s="101"/>
      <c r="BZ5" s="101"/>
      <c r="CA5" s="101"/>
      <c r="CB5" s="4"/>
      <c r="CC5" s="101"/>
      <c r="CD5" s="101"/>
      <c r="CE5" s="101"/>
      <c r="CF5" s="101"/>
      <c r="CG5" s="101"/>
      <c r="CH5" s="101"/>
      <c r="CI5" s="101"/>
      <c r="CJ5" s="101"/>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2"/>
      <c r="DQ5" s="2"/>
      <c r="DR5" s="2"/>
      <c r="DS5" s="2"/>
      <c r="DT5" s="2"/>
      <c r="DU5" s="2"/>
      <c r="DV5" s="2"/>
      <c r="DW5" s="2"/>
      <c r="DX5" s="2"/>
      <c r="DY5" s="2"/>
      <c r="DZ5" s="2"/>
      <c r="EA5" s="2"/>
    </row>
    <row r="6" spans="1:131" ht="22.75" customHeight="1" thickBot="1" x14ac:dyDescent="0.45">
      <c r="A6" s="109"/>
      <c r="B6" s="109"/>
      <c r="C6" s="677"/>
      <c r="D6" s="109"/>
      <c r="E6" s="661" t="s">
        <v>582</v>
      </c>
      <c r="F6" s="678" t="str">
        <f>IF(AND(EmptyA=FALSE,F147=FALSE),"     Area","ENTER AREA(S) BELOW")</f>
        <v xml:space="preserve">     Area</v>
      </c>
      <c r="G6" s="661"/>
      <c r="H6" s="109"/>
      <c r="I6" s="109"/>
      <c r="J6" s="661" t="s">
        <v>444</v>
      </c>
      <c r="K6" s="679"/>
      <c r="L6" s="109"/>
      <c r="M6" s="109"/>
      <c r="N6" s="109"/>
      <c r="O6" s="818" t="str">
        <f>IF(Zone=5,"Are internal walls brick and external walls brick cavity?","")</f>
        <v/>
      </c>
      <c r="P6" s="818"/>
      <c r="Q6" s="818"/>
      <c r="R6" s="818"/>
      <c r="S6" s="818"/>
      <c r="T6" s="822"/>
      <c r="U6" s="822"/>
      <c r="V6" s="109"/>
      <c r="W6" s="681" t="str">
        <f>IF(UpperInputsFlagged&gt;0,"",IF(WallConcession=NoWallConcession,"","ADJUSTED CONSTANT"))</f>
        <v/>
      </c>
      <c r="X6" s="682" t="str">
        <f>IF(UpperInputsFlagged&gt;0,"",IF(S5=0,0,X3*(1-S5)))</f>
        <v/>
      </c>
      <c r="Y6" s="683" t="str">
        <f>IF(OR(ISBLANK(WallConcession),UpperInputsFlagged&gt;0),"",INDEX(I181:I192,MATCH(WallConcession,F181:F192,0),1))</f>
        <v/>
      </c>
      <c r="Z6" s="111"/>
      <c r="AA6" s="382"/>
      <c r="AB6" s="382"/>
      <c r="AC6" s="382"/>
      <c r="AD6" s="382"/>
      <c r="AE6" s="382"/>
      <c r="AF6" s="382"/>
      <c r="AG6" s="397" t="s">
        <v>71</v>
      </c>
      <c r="AH6" s="405">
        <v>1</v>
      </c>
      <c r="AI6" s="406" t="s">
        <v>462</v>
      </c>
      <c r="AJ6" s="382"/>
      <c r="AK6" s="382"/>
      <c r="AL6" s="382"/>
      <c r="AM6" s="382"/>
      <c r="AN6" s="382"/>
      <c r="AO6" s="383"/>
      <c r="AP6" s="383"/>
      <c r="AQ6" s="383"/>
      <c r="AR6" s="383"/>
      <c r="AS6" s="383"/>
      <c r="AT6" s="383"/>
      <c r="AU6" s="383"/>
      <c r="AV6" s="383"/>
      <c r="AW6" s="383"/>
      <c r="AX6" s="383"/>
      <c r="AY6" s="383"/>
      <c r="AZ6" s="383"/>
      <c r="BA6" s="383"/>
      <c r="BB6" s="383"/>
      <c r="BC6" s="383"/>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403" t="e">
        <f>AllowedCond-CC4</f>
        <v>#DIV/0!</v>
      </c>
      <c r="CD6" s="403" t="e">
        <f>AllowedSHG-CD4</f>
        <v>#DIV/0!</v>
      </c>
      <c r="CE6" s="407" t="s">
        <v>72</v>
      </c>
      <c r="CF6" s="382"/>
      <c r="CG6" s="382"/>
      <c r="CH6" s="382"/>
      <c r="CI6" s="382"/>
      <c r="CJ6" s="408" t="s">
        <v>73</v>
      </c>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row>
    <row r="7" spans="1:131" ht="41.25" customHeight="1" thickBot="1" x14ac:dyDescent="0.45">
      <c r="A7" s="109"/>
      <c r="B7" s="109"/>
      <c r="C7" s="677"/>
      <c r="D7" s="109"/>
      <c r="E7" s="662" t="s">
        <v>583</v>
      </c>
      <c r="F7" s="684"/>
      <c r="G7" s="110"/>
      <c r="H7" s="109"/>
      <c r="I7" s="816" t="str">
        <f>IF(AND(AllInputsOK=TRUE,OR(AND(AA8=0,AreaB&gt;0),AND(AreaA&gt;0,AA7=0),AND(F12&gt;0,AA12=0))),"Warning: This dwelling has floor areas entered without any corresponding windows. Please confirm this is correct","")</f>
        <v/>
      </c>
      <c r="J7" s="816"/>
      <c r="K7" s="816"/>
      <c r="L7" s="816"/>
      <c r="M7" s="816"/>
      <c r="N7" s="816"/>
      <c r="O7" s="109"/>
      <c r="P7" s="109"/>
      <c r="Q7" s="109"/>
      <c r="R7" s="109"/>
      <c r="S7" s="109"/>
      <c r="T7" s="685"/>
      <c r="U7" s="680"/>
      <c r="V7" s="109"/>
      <c r="W7" s="110"/>
      <c r="X7" s="682"/>
      <c r="Y7" s="683"/>
      <c r="Z7" s="111"/>
      <c r="AA7" s="382">
        <f>COUNTIF(K$20:K$99,"=Ground: Direct")</f>
        <v>0</v>
      </c>
      <c r="AB7" s="382"/>
      <c r="AC7" s="382"/>
      <c r="AD7" s="382"/>
      <c r="AE7" s="382"/>
      <c r="AF7" s="382"/>
      <c r="AG7" s="397"/>
      <c r="AH7" s="405"/>
      <c r="AI7" s="406"/>
      <c r="AJ7" s="382"/>
      <c r="AK7" s="382"/>
      <c r="AL7" s="382"/>
      <c r="AM7" s="382"/>
      <c r="AN7" s="382"/>
      <c r="AO7" s="383"/>
      <c r="AP7" s="383"/>
      <c r="AQ7" s="383"/>
      <c r="AR7" s="383"/>
      <c r="AS7" s="383"/>
      <c r="AT7" s="383"/>
      <c r="AU7" s="383"/>
      <c r="AV7" s="383"/>
      <c r="AW7" s="383"/>
      <c r="AX7" s="383"/>
      <c r="AY7" s="383"/>
      <c r="AZ7" s="383"/>
      <c r="BA7" s="383"/>
      <c r="BB7" s="383"/>
      <c r="BC7" s="383"/>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403"/>
      <c r="CD7" s="403"/>
      <c r="CE7" s="407"/>
      <c r="CF7" s="382"/>
      <c r="CG7" s="382"/>
      <c r="CH7" s="382"/>
      <c r="CI7" s="382"/>
      <c r="CJ7" s="408"/>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row>
    <row r="8" spans="1:131" ht="40.5" customHeight="1" thickBot="1" x14ac:dyDescent="0.45">
      <c r="A8" s="109"/>
      <c r="B8" s="686" t="s">
        <v>311</v>
      </c>
      <c r="C8" s="677"/>
      <c r="D8" s="110"/>
      <c r="E8" s="662" t="s">
        <v>584</v>
      </c>
      <c r="F8" s="684"/>
      <c r="G8" s="110"/>
      <c r="H8" s="110"/>
      <c r="O8" s="805"/>
      <c r="P8" s="805"/>
      <c r="Q8" s="805"/>
      <c r="R8" s="805"/>
      <c r="S8" s="805"/>
      <c r="T8" s="805"/>
      <c r="U8" s="805"/>
      <c r="V8" s="805"/>
      <c r="W8" s="110" t="str">
        <f>IF(UpperInputsFlagged&gt;0,"",IF(WallConcession=NoWallConcession,"","ADJUSTED CONSTANT"))</f>
        <v/>
      </c>
      <c r="X8" s="682" t="str">
        <f>IF(UpperInputsFlagged&gt;0,"",IF(S6=0,0,X4*(1-S6)))</f>
        <v/>
      </c>
      <c r="Y8" s="682" t="str">
        <f>IF(UpperInputsFlagged&gt;0,"",IF(Y6=0,0,Y4*(1-Y6)))</f>
        <v/>
      </c>
      <c r="Z8" s="111"/>
      <c r="AA8" s="382">
        <f>COUNTIF(K$20:K$99,"=Ground: Suspended")</f>
        <v>0</v>
      </c>
      <c r="AB8" s="382"/>
      <c r="AC8" s="382"/>
      <c r="AD8" s="382"/>
      <c r="AE8" s="382"/>
      <c r="AF8" s="382"/>
      <c r="AG8" s="397" t="s">
        <v>74</v>
      </c>
      <c r="AH8" s="409" t="e">
        <f>INDEX(ConstantsA,2,Zone,2)-INDEX(ConstantsA,2,Zone,1)</f>
        <v>#VALUE!</v>
      </c>
      <c r="AI8" s="410" t="e">
        <f>IF(SuffixAir="High",INDEX(ConstantsA,2,Zone,2),CshgcA+(MultipleAir-1)*DifferenceA)</f>
        <v>#VALUE!</v>
      </c>
      <c r="AJ8" s="411" t="e">
        <f>INDEX(ConstantsB,2,Zone,2)-INDEX(ConstantsB,2,Zone,1)</f>
        <v>#VALUE!</v>
      </c>
      <c r="AK8" s="410" t="e">
        <f>IF(SuffixAir="High",INDEX(ConstantsB,2,Zone,2),CshgcB+(MultipleAir-1)*DifferenceB)</f>
        <v>#VALUE!</v>
      </c>
      <c r="AL8" s="387" t="s">
        <v>75</v>
      </c>
      <c r="AM8" s="382"/>
      <c r="AN8" s="382"/>
      <c r="AO8" s="383"/>
      <c r="AP8" s="383"/>
      <c r="AQ8" s="383"/>
      <c r="AR8" s="383"/>
      <c r="AS8" s="383"/>
      <c r="AT8" s="383"/>
      <c r="AU8" s="383"/>
      <c r="AV8" s="383"/>
      <c r="AW8" s="383"/>
      <c r="AX8" s="383"/>
      <c r="AY8" s="383"/>
      <c r="AZ8" s="383"/>
      <c r="BA8" s="412" t="s">
        <v>76</v>
      </c>
      <c r="BB8" s="383"/>
      <c r="BC8" s="383"/>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413" t="e">
        <f>IF(OR(CC4/AllowedCond&lt;0.01,CC4/AllowedCond&gt;1),ROUNDUP(CC4/AllowedCond,2),CC4/AllowedCond)</f>
        <v>#DIV/0!</v>
      </c>
      <c r="CD8" s="413" t="e">
        <f>IF(OR(CD4/AllowedSHG&lt;0.01,CD4/AllowedSHG&gt;1),ROUNDUP(CD4/AllowedSHG,2),CD4/AllowedSHG)</f>
        <v>#DIV/0!</v>
      </c>
      <c r="CE8" s="407" t="s">
        <v>77</v>
      </c>
      <c r="CF8" s="382"/>
      <c r="CG8" s="382"/>
      <c r="CH8" s="382"/>
      <c r="CI8" s="382"/>
      <c r="CJ8" s="394" t="s">
        <v>78</v>
      </c>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row>
    <row r="9" spans="1:131" customFormat="1" ht="18.5" hidden="1" thickBot="1" x14ac:dyDescent="0.45">
      <c r="A9" s="24"/>
      <c r="B9" s="94"/>
      <c r="C9" s="95"/>
      <c r="D9" s="95"/>
      <c r="E9" s="36"/>
      <c r="F9" s="96"/>
      <c r="G9" s="110"/>
      <c r="H9" s="23"/>
      <c r="I9" s="23"/>
      <c r="J9" s="84"/>
      <c r="K9" s="23"/>
      <c r="L9" s="23"/>
      <c r="M9" s="23"/>
      <c r="N9" s="23"/>
      <c r="O9" s="817" t="str">
        <f>IF(AND(AreaA=0,AA8&lt;&gt;0),"Windows entered with Ground: Direct, but floor area entered. Invalid","")</f>
        <v/>
      </c>
      <c r="P9" s="817"/>
      <c r="Q9" s="817"/>
      <c r="R9" s="817"/>
      <c r="S9" s="817"/>
      <c r="T9" s="817"/>
      <c r="U9" s="817"/>
      <c r="V9" s="817"/>
      <c r="W9" s="97"/>
      <c r="X9" s="119"/>
      <c r="Y9" s="119"/>
      <c r="Z9" s="5"/>
      <c r="AA9" s="2"/>
      <c r="AB9" s="98"/>
      <c r="AC9" s="98"/>
      <c r="AD9" s="98"/>
      <c r="AE9" s="98"/>
      <c r="AF9" s="98"/>
      <c r="AG9" s="99"/>
      <c r="AH9" s="99"/>
      <c r="AI9" s="99"/>
      <c r="AJ9" s="99"/>
      <c r="AK9" s="99"/>
      <c r="AL9" s="100"/>
      <c r="AM9" s="98"/>
      <c r="AN9" s="98"/>
      <c r="AO9" s="101"/>
      <c r="AP9" s="101"/>
      <c r="AQ9" s="101"/>
      <c r="AR9" s="101"/>
      <c r="AS9" s="101"/>
      <c r="AT9" s="101"/>
      <c r="AU9" s="101"/>
      <c r="AV9" s="101"/>
      <c r="AW9" s="101"/>
      <c r="AX9" s="101"/>
      <c r="AY9" s="101"/>
      <c r="AZ9" s="101"/>
      <c r="BA9" s="102"/>
      <c r="BB9" s="101"/>
      <c r="BC9" s="101"/>
      <c r="BD9" s="98"/>
      <c r="BE9" s="98"/>
      <c r="BF9" s="98"/>
      <c r="BG9" s="98"/>
      <c r="BH9" s="2"/>
      <c r="BI9" s="98"/>
      <c r="BJ9" s="98"/>
      <c r="BK9" s="98"/>
      <c r="BL9" s="98"/>
      <c r="BM9" s="98"/>
      <c r="BN9" s="98"/>
      <c r="BO9" s="98"/>
      <c r="BP9" s="98"/>
      <c r="BQ9" s="98"/>
      <c r="BR9" s="98"/>
      <c r="BS9" s="98"/>
      <c r="BT9" s="98"/>
      <c r="BU9" s="98"/>
      <c r="BV9" s="98"/>
      <c r="BW9" s="98"/>
      <c r="BX9" s="98"/>
      <c r="BY9" s="98"/>
      <c r="BZ9" s="98"/>
      <c r="CA9" s="98"/>
      <c r="CB9" s="2"/>
      <c r="CC9" s="98"/>
      <c r="CD9" s="98"/>
      <c r="CE9" s="103"/>
      <c r="CF9" s="98"/>
      <c r="CG9" s="98"/>
      <c r="CH9" s="98"/>
      <c r="CI9" s="98"/>
      <c r="CJ9" s="104"/>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row>
    <row r="10" spans="1:131" customFormat="1" ht="18.5" hidden="1" thickBot="1" x14ac:dyDescent="0.45">
      <c r="A10" s="24"/>
      <c r="B10" s="93" t="s">
        <v>79</v>
      </c>
      <c r="C10" s="95"/>
      <c r="D10" s="95"/>
      <c r="E10" s="36"/>
      <c r="F10" s="96"/>
      <c r="G10" s="110"/>
      <c r="H10" s="23"/>
      <c r="I10" s="23"/>
      <c r="J10" s="84"/>
      <c r="K10" s="23"/>
      <c r="L10" s="23"/>
      <c r="M10" s="23"/>
      <c r="N10" s="23"/>
      <c r="O10" s="817" t="str">
        <f>IF(AND(AreaA=0,AA9&lt;&gt;0),"Windows entered with Ground: Direct, but floor area entered. Invalid","")</f>
        <v/>
      </c>
      <c r="P10" s="817"/>
      <c r="Q10" s="817"/>
      <c r="R10" s="817"/>
      <c r="S10" s="817"/>
      <c r="T10" s="817"/>
      <c r="U10" s="817"/>
      <c r="V10" s="817"/>
      <c r="W10" s="97"/>
      <c r="X10" s="119"/>
      <c r="Y10" s="119"/>
      <c r="Z10" s="5"/>
      <c r="AA10" s="2"/>
      <c r="AB10" s="98"/>
      <c r="AC10" s="98"/>
      <c r="AD10" s="98"/>
      <c r="AE10" s="98"/>
      <c r="AF10" s="98"/>
      <c r="AG10" s="99"/>
      <c r="AH10" s="99"/>
      <c r="AI10" s="99"/>
      <c r="AJ10" s="99"/>
      <c r="AK10" s="99"/>
      <c r="AL10" s="100"/>
      <c r="AM10" s="98"/>
      <c r="AN10" s="98"/>
      <c r="AO10" s="101"/>
      <c r="AP10" s="101"/>
      <c r="AQ10" s="101"/>
      <c r="AR10" s="101"/>
      <c r="AS10" s="101"/>
      <c r="AT10" s="101"/>
      <c r="AU10" s="101"/>
      <c r="AV10" s="101"/>
      <c r="AW10" s="101"/>
      <c r="AX10" s="101"/>
      <c r="AY10" s="101"/>
      <c r="AZ10" s="101"/>
      <c r="BA10" s="102"/>
      <c r="BB10" s="101"/>
      <c r="BC10" s="101"/>
      <c r="BD10" s="98"/>
      <c r="BE10" s="98"/>
      <c r="BF10" s="98"/>
      <c r="BG10" s="98"/>
      <c r="BH10" s="2"/>
      <c r="BI10" s="98"/>
      <c r="BJ10" s="98"/>
      <c r="BK10" s="98"/>
      <c r="BL10" s="98"/>
      <c r="BM10" s="98"/>
      <c r="BN10" s="98">
        <f>MATCH($BI20,Projections,1)</f>
        <v>1</v>
      </c>
      <c r="BO10" s="243" t="s">
        <v>124</v>
      </c>
      <c r="BP10" s="98"/>
      <c r="BQ10" s="98"/>
      <c r="BR10" s="98"/>
      <c r="BS10" s="98"/>
      <c r="BT10" s="98"/>
      <c r="BU10" s="98"/>
      <c r="BV10" s="98"/>
      <c r="BW10" s="98"/>
      <c r="BX10" s="98"/>
      <c r="BY10" s="98"/>
      <c r="BZ10" s="98"/>
      <c r="CA10" s="98"/>
      <c r="CB10" s="2"/>
      <c r="CC10" s="98"/>
      <c r="CD10" s="98"/>
      <c r="CE10" s="103"/>
      <c r="CF10" s="98"/>
      <c r="CG10" s="98"/>
      <c r="CH10" s="98"/>
      <c r="CI10" s="98"/>
      <c r="CJ10" s="104"/>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row>
    <row r="11" spans="1:131" customFormat="1" ht="18.5" hidden="1" thickBot="1" x14ac:dyDescent="0.45">
      <c r="A11" s="24"/>
      <c r="B11" s="93" t="s">
        <v>80</v>
      </c>
      <c r="C11" s="95"/>
      <c r="D11" s="95"/>
      <c r="E11" s="36"/>
      <c r="F11" s="96"/>
      <c r="G11" s="110"/>
      <c r="H11" s="23"/>
      <c r="I11" s="23"/>
      <c r="J11" s="84"/>
      <c r="K11" s="23"/>
      <c r="L11" s="23"/>
      <c r="M11" s="23"/>
      <c r="N11" s="23"/>
      <c r="O11" s="817" t="str">
        <f>IF(AND(AreaA=0,AA10&lt;&gt;0),"Windows entered with Ground: Direct, but floor area entered. Invalid","")</f>
        <v/>
      </c>
      <c r="P11" s="817"/>
      <c r="Q11" s="817"/>
      <c r="R11" s="817"/>
      <c r="S11" s="817"/>
      <c r="T11" s="817"/>
      <c r="U11" s="817"/>
      <c r="V11" s="817"/>
      <c r="W11" s="97"/>
      <c r="X11" s="119"/>
      <c r="Y11" s="119"/>
      <c r="Z11" s="5"/>
      <c r="AA11" s="2"/>
      <c r="AB11" s="98"/>
      <c r="AC11" s="98"/>
      <c r="AD11" s="98"/>
      <c r="AE11" s="98"/>
      <c r="AF11" s="98"/>
      <c r="AG11" s="99"/>
      <c r="AH11" s="99" t="e">
        <f>Slab_or_Timb</f>
        <v>#DIV/0!</v>
      </c>
      <c r="AI11" s="99"/>
      <c r="AJ11" s="99"/>
      <c r="AK11" s="99"/>
      <c r="AL11" s="100"/>
      <c r="AM11" s="3" t="s">
        <v>507</v>
      </c>
      <c r="AN11" s="3" t="s">
        <v>508</v>
      </c>
      <c r="AO11" s="101"/>
      <c r="AP11" s="101"/>
      <c r="AQ11" s="101"/>
      <c r="AR11" s="101"/>
      <c r="AS11" s="101"/>
      <c r="AT11" s="101"/>
      <c r="AU11" s="101"/>
      <c r="AV11" s="101"/>
      <c r="AW11" s="101"/>
      <c r="AX11" s="101"/>
      <c r="AY11" s="101"/>
      <c r="AZ11" s="101"/>
      <c r="BA11" s="102"/>
      <c r="BB11" s="101"/>
      <c r="BC11" s="101"/>
      <c r="BD11" s="98"/>
      <c r="BE11" s="98"/>
      <c r="BF11" s="98"/>
      <c r="BG11" s="98"/>
      <c r="BH11" s="2"/>
      <c r="BI11" s="98"/>
      <c r="BJ11" s="98"/>
      <c r="BK11" s="98"/>
      <c r="BL11" s="98"/>
      <c r="BM11" s="98"/>
      <c r="BN11" s="98" t="e">
        <f>MATCH($BM20,Directions,0)</f>
        <v>#N/A</v>
      </c>
      <c r="BO11" s="243" t="s">
        <v>516</v>
      </c>
      <c r="BP11" s="98"/>
      <c r="BQ11" s="98"/>
      <c r="BR11" s="98"/>
      <c r="BS11" s="98"/>
      <c r="BT11" s="98"/>
      <c r="BU11" s="98"/>
      <c r="BV11" s="98"/>
      <c r="BW11" s="98"/>
      <c r="BX11" s="98"/>
      <c r="BY11" s="98"/>
      <c r="BZ11" s="98"/>
      <c r="CA11" s="98"/>
      <c r="CB11" s="2"/>
      <c r="CC11" s="98"/>
      <c r="CD11" s="98"/>
      <c r="CE11" s="103"/>
      <c r="CF11" s="98"/>
      <c r="CG11" s="98"/>
      <c r="CH11" s="98"/>
      <c r="CI11" s="98"/>
      <c r="CJ11" s="104"/>
      <c r="CK11" s="2"/>
      <c r="CL11" s="2"/>
      <c r="CM11" s="2"/>
      <c r="CN11" s="2"/>
      <c r="CO11" s="2"/>
      <c r="CP11" s="2"/>
      <c r="CQ11" s="2"/>
      <c r="CR11" s="2"/>
      <c r="CS11" s="2"/>
      <c r="CT11" s="98"/>
      <c r="CU11" s="2"/>
      <c r="CV11" s="3" t="s">
        <v>450</v>
      </c>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row>
    <row r="12" spans="1:131" ht="40" customHeight="1" thickBot="1" x14ac:dyDescent="0.55000000000000004">
      <c r="A12" s="109"/>
      <c r="B12" s="687"/>
      <c r="C12" s="109"/>
      <c r="D12" s="109"/>
      <c r="E12" s="661" t="s">
        <v>544</v>
      </c>
      <c r="F12" s="684"/>
      <c r="G12" s="110"/>
      <c r="H12" s="109"/>
      <c r="I12" s="780"/>
      <c r="J12" s="688" t="s">
        <v>231</v>
      </c>
      <c r="K12" s="688"/>
      <c r="L12" s="780"/>
      <c r="M12" s="780"/>
      <c r="N12" s="780"/>
      <c r="O12" s="805"/>
      <c r="P12" s="805"/>
      <c r="Q12" s="805"/>
      <c r="R12" s="805"/>
      <c r="S12" s="805"/>
      <c r="T12" s="805"/>
      <c r="U12" s="805"/>
      <c r="V12" s="805"/>
      <c r="W12" s="814" t="s">
        <v>81</v>
      </c>
      <c r="X12" s="689" t="s">
        <v>600</v>
      </c>
      <c r="Y12" s="690" t="s">
        <v>601</v>
      </c>
      <c r="Z12" s="111"/>
      <c r="AA12" s="382">
        <f>COUNTIF(K$20:K$99,"=Upper")</f>
        <v>0</v>
      </c>
      <c r="AB12" s="414" t="str">
        <f>IF(Zone=1,"x Area","(only)")</f>
        <v>(only)</v>
      </c>
      <c r="AC12" s="387" t="s">
        <v>82</v>
      </c>
      <c r="AD12" s="415"/>
      <c r="AE12" s="415"/>
      <c r="AF12" s="415"/>
      <c r="AG12" s="382"/>
      <c r="AH12" s="416" t="e">
        <f>IF(AH11="Slab",CuA,CuB)</f>
        <v>#DIV/0!</v>
      </c>
      <c r="AI12" s="417" t="e">
        <f>IF(AH11="Slab",CshgcA,CshgcB)</f>
        <v>#DIV/0!</v>
      </c>
      <c r="AJ12" s="387" t="s">
        <v>83</v>
      </c>
      <c r="AK12" s="387"/>
      <c r="AL12" s="418"/>
      <c r="AM12" s="382" t="s">
        <v>509</v>
      </c>
      <c r="AN12" s="382" t="s">
        <v>510</v>
      </c>
      <c r="AO12" s="382"/>
      <c r="AP12" s="382"/>
      <c r="AQ12" s="382"/>
      <c r="AR12" s="382"/>
      <c r="AS12" s="382"/>
      <c r="AT12" s="382"/>
      <c r="AU12" s="382"/>
      <c r="AV12" s="382"/>
      <c r="AW12" s="382"/>
      <c r="AX12" s="382"/>
      <c r="AY12" s="382"/>
      <c r="AZ12" s="382"/>
      <c r="BA12" s="419" t="b">
        <f>BA4=0</f>
        <v>1</v>
      </c>
      <c r="BB12" s="420"/>
      <c r="BC12" s="420"/>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421" t="e">
        <f>IF(CC6&lt;0,COUNTIF(AI20:AI99,"true"),0)</f>
        <v>#DIV/0!</v>
      </c>
      <c r="CD12" s="421" t="e">
        <f>IF(Zone=8,0,IF(CD6&lt;0,COUNTIF(AI20:AI99,"true"),0))</f>
        <v>#DIV/0!</v>
      </c>
      <c r="CE12" s="407" t="s">
        <v>84</v>
      </c>
      <c r="CF12" s="382"/>
      <c r="CG12" s="382"/>
      <c r="CH12" s="382"/>
      <c r="CI12" s="382"/>
      <c r="CJ12" s="422" t="s">
        <v>85</v>
      </c>
      <c r="CK12" s="382"/>
      <c r="CL12" s="382"/>
      <c r="CM12" s="382"/>
      <c r="CN12" s="382"/>
      <c r="CO12" s="382"/>
      <c r="CP12" s="382"/>
      <c r="CQ12" s="382"/>
      <c r="CR12" s="382"/>
      <c r="CS12" s="382"/>
      <c r="CT12" s="382"/>
      <c r="CU12" s="382" t="s">
        <v>470</v>
      </c>
      <c r="CV12" s="382" t="s">
        <v>451</v>
      </c>
      <c r="CW12" s="382" t="s">
        <v>461</v>
      </c>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row>
    <row r="13" spans="1:131" ht="18" x14ac:dyDescent="0.4">
      <c r="A13" s="109"/>
      <c r="B13" s="686" t="s">
        <v>79</v>
      </c>
      <c r="C13" s="677"/>
      <c r="D13" s="109"/>
      <c r="E13" s="691" t="str">
        <f>IF(AreaA+AreaB&gt;0,"Area of dwelling ","")</f>
        <v/>
      </c>
      <c r="F13" s="692">
        <f>AreaA+AreaB+F12</f>
        <v>0</v>
      </c>
      <c r="G13" s="109"/>
      <c r="H13" s="693" t="str">
        <f>H153</f>
        <v/>
      </c>
      <c r="I13" s="109"/>
      <c r="J13" s="109"/>
      <c r="K13" s="109"/>
      <c r="L13" s="109"/>
      <c r="M13" s="109"/>
      <c r="N13" s="109"/>
      <c r="O13" s="805"/>
      <c r="P13" s="805"/>
      <c r="Q13" s="805"/>
      <c r="R13" s="805"/>
      <c r="S13" s="805"/>
      <c r="T13" s="805"/>
      <c r="U13" s="805"/>
      <c r="V13" s="805"/>
      <c r="W13" s="814"/>
      <c r="X13" s="694" t="str">
        <f>IF(Zone=1,"N/A",IF(UpperInputsFlagged&gt;0,"",AllowedCond))</f>
        <v/>
      </c>
      <c r="Y13" s="695" t="str">
        <f>IF(UpperInputsFlagged&gt;0,"",AllowedSHG)</f>
        <v/>
      </c>
      <c r="Z13" s="111"/>
      <c r="AA13" s="382"/>
      <c r="AB13" s="382"/>
      <c r="AC13" s="382"/>
      <c r="AD13" s="382"/>
      <c r="AE13" s="382"/>
      <c r="AF13" s="382"/>
      <c r="AG13" s="397" t="s">
        <v>86</v>
      </c>
      <c r="AH13" s="423" t="e">
        <f>ROUND(CuWeighted*IF(Zone=1,AreaAll,1),1)</f>
        <v>#DIV/0!</v>
      </c>
      <c r="AI13" s="424" t="e">
        <f>ROUND(CshgcWeighted*AreaAll,1)</f>
        <v>#DIV/0!</v>
      </c>
      <c r="AJ13" s="387" t="s">
        <v>87</v>
      </c>
      <c r="AK13" s="387"/>
      <c r="AL13" s="382"/>
      <c r="AM13" s="425" t="e">
        <f>IF(Zone=1,"",TEXT(CC4/AllowedCond,IF(CC4/AllowedCond&lt;0.005,"0.0%","0.0%")))</f>
        <v>#DIV/0!</v>
      </c>
      <c r="AN13" s="425" t="e">
        <f>TEXT(CD4/AllowedSHG,IF(CD4/AllowedSHG&lt;0.005,"0.0%","0.0%"))</f>
        <v>#DIV/0!</v>
      </c>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426" t="b">
        <f>IF(ISERR(FailedCondA),FALSE,AND(RowsActive&gt;0,RowsActive=RowsOK,DudTableInputs=0,FailedCondA=0))</f>
        <v>0</v>
      </c>
      <c r="CD13" s="426" t="b">
        <f>IF(ISERR(FailedSHG),FALSE,AND(RowsActive&gt;0,RowsActive=RowsOK,DudTableInputs=0,FailedSHGA=0))</f>
        <v>0</v>
      </c>
      <c r="CE13" s="394" t="s">
        <v>88</v>
      </c>
      <c r="CF13" s="382"/>
      <c r="CG13" s="382"/>
      <c r="CH13" s="382"/>
      <c r="CI13" s="382"/>
      <c r="CJ13" s="396"/>
      <c r="CK13" s="396"/>
      <c r="CL13" s="382"/>
      <c r="CM13" s="382"/>
      <c r="CN13" s="382"/>
      <c r="CO13" s="382"/>
      <c r="CP13" s="394" t="s">
        <v>458</v>
      </c>
      <c r="CQ13" s="382"/>
      <c r="CR13" s="382"/>
      <c r="CS13" s="382"/>
      <c r="CT13" s="382"/>
      <c r="CU13" s="382">
        <f>Zone</f>
        <v>0</v>
      </c>
      <c r="CV13" s="382">
        <f>IF(CU13&lt;&gt;5,Zone,IF(CU13=5,IF(CU14=" BC","5 BC",Zone)))</f>
        <v>0</v>
      </c>
      <c r="CW13" s="382" t="e">
        <f>VLOOKUP(Zone_Lookup,DD124:DE132,2)</f>
        <v>#N/A</v>
      </c>
      <c r="CX13" s="394" t="s">
        <v>466</v>
      </c>
      <c r="CY13" s="382"/>
      <c r="CZ13" s="382"/>
      <c r="DA13" s="382"/>
      <c r="DB13" s="382"/>
      <c r="DC13" s="382"/>
      <c r="DD13" s="382"/>
      <c r="DE13" s="382"/>
      <c r="DF13" s="382"/>
      <c r="DG13" s="382"/>
      <c r="DH13" s="382"/>
      <c r="DI13" s="382"/>
      <c r="DJ13" s="382"/>
      <c r="DK13" s="382"/>
      <c r="DL13" s="382"/>
      <c r="DM13" s="382"/>
      <c r="DN13" s="382"/>
      <c r="DO13" s="382"/>
      <c r="DP13" s="382"/>
      <c r="DQ13" s="382"/>
      <c r="DR13" s="382"/>
      <c r="DS13" s="382"/>
      <c r="DT13" s="382"/>
      <c r="DU13" s="382"/>
      <c r="DV13" s="382"/>
      <c r="DW13" s="382"/>
      <c r="DX13" s="382"/>
      <c r="DY13" s="382"/>
      <c r="DZ13" s="382"/>
      <c r="EA13" s="382"/>
    </row>
    <row r="14" spans="1:131" ht="17.5" x14ac:dyDescent="0.35">
      <c r="A14" s="109"/>
      <c r="B14" s="696"/>
      <c r="C14" s="109"/>
      <c r="D14" s="109"/>
      <c r="E14" s="697" t="str">
        <f>IF(GlazingAreaAll=0,"","Area of glazing ")</f>
        <v/>
      </c>
      <c r="F14" s="698">
        <f>GlazingAreaAll</f>
        <v>0</v>
      </c>
      <c r="G14" s="699" t="str">
        <f>IF(GlazingAreaAll=0,"",IF(OR(ActiveA=TRUE,ActiveB=TRUE),"("&amp;TEXT(GlazingAreaAll/AreaAll,"0%")&amp;" of floor area)",""))</f>
        <v/>
      </c>
      <c r="H14" s="700"/>
      <c r="I14" s="700"/>
      <c r="J14" s="700"/>
      <c r="K14" s="700"/>
      <c r="L14" s="700"/>
      <c r="M14" s="700"/>
      <c r="N14" s="700"/>
      <c r="O14" s="700"/>
      <c r="P14" s="700"/>
      <c r="Q14" s="700"/>
      <c r="R14" s="700"/>
      <c r="S14" s="111"/>
      <c r="T14" s="111"/>
      <c r="U14" s="111"/>
      <c r="V14" s="111"/>
      <c r="W14" s="111"/>
      <c r="X14" s="700"/>
      <c r="Y14" s="700"/>
      <c r="Z14" s="111"/>
      <c r="AA14" s="382"/>
      <c r="AB14" s="382"/>
      <c r="AC14" s="382"/>
      <c r="AD14" s="382"/>
      <c r="AE14" s="382"/>
      <c r="AF14" s="382"/>
      <c r="AG14" s="382"/>
      <c r="AH14" s="382"/>
      <c r="AI14" s="412" t="s">
        <v>89</v>
      </c>
      <c r="AJ14" s="382"/>
      <c r="AK14" s="382"/>
      <c r="AL14" s="427"/>
      <c r="AM14" s="412" t="s">
        <v>90</v>
      </c>
      <c r="AN14" s="382"/>
      <c r="AO14" s="407"/>
      <c r="AP14" s="407"/>
      <c r="AQ14" s="407" t="s">
        <v>547</v>
      </c>
      <c r="AR14" s="412" t="s">
        <v>91</v>
      </c>
      <c r="AS14" s="387"/>
      <c r="AT14" s="382"/>
      <c r="AU14" s="382"/>
      <c r="AV14" s="412" t="s">
        <v>92</v>
      </c>
      <c r="AW14" s="387"/>
      <c r="AX14" s="382"/>
      <c r="AY14" s="412" t="s">
        <v>93</v>
      </c>
      <c r="AZ14" s="382"/>
      <c r="BA14" s="412" t="s">
        <v>94</v>
      </c>
      <c r="BB14" s="428"/>
      <c r="BC14" s="428"/>
      <c r="BD14" s="382"/>
      <c r="BE14" s="382"/>
      <c r="BF14" s="382"/>
      <c r="BG14" s="387" t="s">
        <v>95</v>
      </c>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97" t="s">
        <v>96</v>
      </c>
      <c r="CD14" s="422" t="s">
        <v>97</v>
      </c>
      <c r="CE14" s="382"/>
      <c r="CF14" s="382"/>
      <c r="CG14" s="382"/>
      <c r="CH14" s="382"/>
      <c r="CI14" s="382"/>
      <c r="CJ14" s="396"/>
      <c r="CK14" s="396"/>
      <c r="CL14" s="382"/>
      <c r="CM14" s="382"/>
      <c r="CN14" s="382"/>
      <c r="CO14" s="382"/>
      <c r="CP14" s="382" t="e">
        <f>IF(AreaA/(AreaA+F8)&gt;=0.5,"Slab","Timber")</f>
        <v>#DIV/0!</v>
      </c>
      <c r="CQ14" s="382"/>
      <c r="CR14" s="382"/>
      <c r="CS14" s="382">
        <f>BC_in_Z5</f>
        <v>0</v>
      </c>
      <c r="CT14" s="382"/>
      <c r="CU14" s="382" t="str">
        <f>IF(CS14="yes, full brick house"," BC","")</f>
        <v/>
      </c>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row>
    <row r="15" spans="1:131" ht="25.5" x14ac:dyDescent="0.55000000000000004">
      <c r="A15" s="109"/>
      <c r="B15" s="701" t="s">
        <v>98</v>
      </c>
      <c r="C15" s="109"/>
      <c r="D15" s="109"/>
      <c r="E15" s="109"/>
      <c r="F15" s="702">
        <v>20</v>
      </c>
      <c r="G15" s="703"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09"/>
      <c r="I15" s="111"/>
      <c r="J15" s="111"/>
      <c r="K15" s="111"/>
      <c r="L15" s="111"/>
      <c r="M15" s="111"/>
      <c r="N15" s="111"/>
      <c r="O15" s="111"/>
      <c r="P15" s="111"/>
      <c r="Q15" s="704"/>
      <c r="R15" s="111"/>
      <c r="S15" s="111"/>
      <c r="T15" s="111"/>
      <c r="U15" s="111"/>
      <c r="V15" s="111"/>
      <c r="W15" s="111"/>
      <c r="X15" s="111"/>
      <c r="Y15" s="111"/>
      <c r="Z15" s="689"/>
      <c r="AA15" s="382"/>
      <c r="AB15" s="429" t="s">
        <v>99</v>
      </c>
      <c r="AC15" s="382"/>
      <c r="AD15" s="382"/>
      <c r="AE15" s="382"/>
      <c r="AF15" s="382"/>
      <c r="AG15" s="382"/>
      <c r="AH15" s="382"/>
      <c r="AI15" s="430">
        <f>ROUND(SUMIF(AI20:AI99,TRUE,AreaUsed),1)</f>
        <v>0</v>
      </c>
      <c r="AJ15" s="387"/>
      <c r="AK15" s="387"/>
      <c r="AL15" s="382"/>
      <c r="AM15" s="402">
        <f>SUM(AM18:AN18)</f>
        <v>0</v>
      </c>
      <c r="AN15" s="382"/>
      <c r="AO15" s="382"/>
      <c r="AP15" s="382"/>
      <c r="AQ15" s="431">
        <f>SUM(AP18:AQ18)</f>
        <v>0</v>
      </c>
      <c r="AR15" s="431">
        <f>SUM(AR18:AU18)</f>
        <v>0</v>
      </c>
      <c r="AS15" s="382"/>
      <c r="AT15" s="382"/>
      <c r="AU15" s="382"/>
      <c r="AV15" s="402">
        <f>SUM(AV18:AX18)</f>
        <v>0</v>
      </c>
      <c r="AW15" s="382"/>
      <c r="AX15" s="382"/>
      <c r="AY15" s="402">
        <f>SUM(NoSector,DudSize,DudPerformance,DudShading,Dudfactors)</f>
        <v>0</v>
      </c>
      <c r="AZ15" s="382"/>
      <c r="BA15" s="432" t="b">
        <f>AND(RowsActive&gt;0,DudTableInputs=0,InputIssues=0,ConductanceAccess&gt;0,FACT_AFF=0)</f>
        <v>0</v>
      </c>
      <c r="BB15" s="433" t="s">
        <v>100</v>
      </c>
      <c r="BC15" s="433"/>
      <c r="BD15" s="382"/>
      <c r="BE15" s="382"/>
      <c r="BF15" s="382"/>
      <c r="BG15" s="402">
        <f>SUMIF(AI20:AI99,FALSE,AJ20:AJ99)</f>
        <v>0</v>
      </c>
      <c r="BH15" s="382"/>
      <c r="BI15" s="382"/>
      <c r="BJ15" s="382"/>
      <c r="BK15" s="382"/>
      <c r="BL15" s="382"/>
      <c r="BM15" s="382"/>
      <c r="BN15" s="382" t="e">
        <f>INDEX(ExposuresSummer,MATCH($BI20,Projections,1),MATCH($BM20,Directions,0),Zone_Col)</f>
        <v>#N/A</v>
      </c>
      <c r="BO15" s="382">
        <f>IF(AND($AY20=TRUE,Zone=0),10,IF(OR($BM20=0,$BM20=FALSE),0,IF(Slab_or_Timb="Slab",INDEX(ExposuresSummer,MATCH($BJ20,Projections,1),MATCH($BM20,Directions,0),Zone_Col),INDEX(ExposuresSummerTimber,MATCH($BJ20,Projections,1),MATCH($BM20,Directions,0),Zone_Col))))</f>
        <v>0</v>
      </c>
      <c r="BP15" s="382"/>
      <c r="BQ15" s="382"/>
      <c r="BR15" s="382"/>
      <c r="BS15" s="382"/>
      <c r="BT15" s="382"/>
      <c r="BU15" s="382"/>
      <c r="BV15" s="382"/>
      <c r="BW15" s="382">
        <f>IF(AND($AY20=TRUE,Zone=0),10,IF(OR($BM20=0,$BM20=FALSE),0,IF(Slab_or_Timb="Slab",INDEX(ExposuresWinter,MATCH($BI20,Projections,1),MATCH($BM20,Directions,0),Zone_Col),INDEX(ExposuresWinterTimber,MATCH($BI20,Projections,1),MATCH($BM20,Directions,0),Zone_Col))))</f>
        <v>0</v>
      </c>
      <c r="BX15" s="382">
        <f>IF(AND($AY20=TRUE,Zone=0),10,IF(OR($BM20=0,$BM20=FALSE),0,IF(Slab_or_Timb="Slab",INDEX(ExposuresWinter,MATCH($BJ20,Projections,1),MATCH($BM20,Directions,0),Zone_Col),INDEX(ExposuresWinterTimber,MATCH($BJ20,Projections,1),MATCH($BM20,Directions,0),Zone_Col))))</f>
        <v>0</v>
      </c>
      <c r="BY15" s="382"/>
      <c r="BZ15" s="382" t="s">
        <v>501</v>
      </c>
      <c r="CA15" s="382"/>
      <c r="CB15" s="382"/>
      <c r="CC15" s="382"/>
      <c r="CD15" s="382"/>
      <c r="CE15" s="382"/>
      <c r="CF15" s="382"/>
      <c r="CG15" s="382"/>
      <c r="CH15" s="382"/>
      <c r="CI15" s="382"/>
      <c r="CJ15" s="382"/>
      <c r="CK15" s="382"/>
      <c r="CL15" s="382"/>
      <c r="CM15" s="382"/>
      <c r="CN15" s="382"/>
      <c r="CO15" s="382"/>
      <c r="CP15" s="394" t="s">
        <v>465</v>
      </c>
      <c r="CQ15" s="382"/>
      <c r="CR15" s="382"/>
      <c r="CS15" s="382"/>
      <c r="CT15" s="382"/>
      <c r="CU15" s="382"/>
      <c r="CV15" s="382"/>
      <c r="CW15" s="382"/>
      <c r="CX15" s="382"/>
      <c r="CY15" s="382"/>
      <c r="CZ15" s="382"/>
      <c r="DA15" s="382"/>
      <c r="DB15" s="382"/>
      <c r="DC15" s="382"/>
      <c r="DD15" s="382"/>
      <c r="DE15" s="382"/>
      <c r="DF15" s="382"/>
      <c r="DG15" s="382"/>
      <c r="DH15" s="382"/>
      <c r="DI15" s="382"/>
      <c r="DJ15" s="382"/>
      <c r="DK15" s="382"/>
      <c r="DL15" s="382"/>
      <c r="DM15" s="382"/>
      <c r="DN15" s="382"/>
      <c r="DO15" s="382"/>
      <c r="DP15" s="382"/>
      <c r="DQ15" s="382"/>
      <c r="DR15" s="382"/>
      <c r="DS15" s="382"/>
      <c r="DT15" s="382"/>
      <c r="DU15" s="382"/>
      <c r="DV15" s="382"/>
      <c r="DW15" s="382"/>
      <c r="DX15" s="382"/>
      <c r="DY15" s="382"/>
      <c r="DZ15" s="382"/>
      <c r="EA15" s="382"/>
    </row>
    <row r="16" spans="1:131" ht="36.75" customHeight="1" thickBot="1" x14ac:dyDescent="0.4">
      <c r="A16" s="109"/>
      <c r="B16" s="109"/>
      <c r="C16" s="109"/>
      <c r="D16" s="109"/>
      <c r="E16" s="109"/>
      <c r="F16" s="705"/>
      <c r="G16" s="700"/>
      <c r="H16" s="700"/>
      <c r="I16" s="700"/>
      <c r="J16" s="706"/>
      <c r="K16" s="706"/>
      <c r="L16" s="706"/>
      <c r="M16" s="706"/>
      <c r="N16" s="706"/>
      <c r="O16" s="700"/>
      <c r="P16" s="700"/>
      <c r="Q16" s="700"/>
      <c r="R16" s="700"/>
      <c r="S16" s="111"/>
      <c r="T16" s="111"/>
      <c r="U16" s="111"/>
      <c r="V16" s="111"/>
      <c r="W16" s="111"/>
      <c r="X16" s="111"/>
      <c r="Y16" s="111"/>
      <c r="Z16" s="111"/>
      <c r="AA16" s="382"/>
      <c r="AB16" s="382"/>
      <c r="AC16" s="382"/>
      <c r="AD16" s="382"/>
      <c r="AE16" s="382"/>
      <c r="AF16" s="382"/>
      <c r="AG16" s="790" t="s">
        <v>534</v>
      </c>
      <c r="AH16" s="382"/>
      <c r="AI16" s="382"/>
      <c r="AJ16" s="382"/>
      <c r="AK16" s="382"/>
      <c r="AL16" s="397"/>
      <c r="AM16" s="387"/>
      <c r="AN16" s="382"/>
      <c r="AO16" s="407"/>
      <c r="AP16" s="407"/>
      <c r="AQ16" s="407"/>
      <c r="AR16" s="387"/>
      <c r="AS16" s="387"/>
      <c r="AT16" s="382"/>
      <c r="AU16" s="382"/>
      <c r="AV16" s="387"/>
      <c r="AW16" s="387"/>
      <c r="AX16" s="382"/>
      <c r="AY16" s="387"/>
      <c r="AZ16" s="382"/>
      <c r="BA16" s="382"/>
      <c r="BB16" s="382"/>
      <c r="BC16" s="382"/>
      <c r="BD16" s="382"/>
      <c r="BE16" s="382"/>
      <c r="BF16" s="382"/>
      <c r="BG16" s="422"/>
      <c r="BH16" s="382"/>
      <c r="BI16" s="382"/>
      <c r="BJ16" s="382"/>
      <c r="BK16" s="382"/>
      <c r="BL16" s="382"/>
      <c r="BM16" s="382"/>
      <c r="BN16" s="382">
        <f>IF(AND($AY20=TRUE,Zone=0),10,IF(OR($BM20=0,$BM20=FALSE),0,INDEX(ExposuresSummer,MATCH($BI20,Projections,1),MATCH($BM20,Directions,0),Zone_Col)))</f>
        <v>0</v>
      </c>
      <c r="BO16" s="382">
        <f>IF(AND($AY20=TRUE,Zone=0),10,IF(OR($BM20=0,$BM20=FALSE),0,INDEX(ExposuresSummer,MATCH($BJ20,Projections,1),MATCH($BM20,Directions,0),Zone_Col)))</f>
        <v>0</v>
      </c>
      <c r="BP16" s="382"/>
      <c r="BQ16" s="434"/>
      <c r="BR16" s="434"/>
      <c r="BS16" s="434"/>
      <c r="BT16" s="434"/>
      <c r="BU16" s="434"/>
      <c r="BV16" s="434"/>
      <c r="BW16" s="434"/>
      <c r="BX16" s="434"/>
      <c r="BY16" s="434"/>
      <c r="BZ16" s="434"/>
      <c r="CA16" s="434"/>
      <c r="CB16" s="434"/>
      <c r="CC16" s="434"/>
      <c r="CD16" s="434"/>
      <c r="CE16" s="434"/>
      <c r="CF16" s="382"/>
      <c r="CG16" s="382"/>
      <c r="CH16" s="382"/>
      <c r="CI16" s="382"/>
      <c r="CJ16" s="382"/>
      <c r="CK16" s="382"/>
      <c r="CL16" s="382"/>
      <c r="CM16" s="382"/>
      <c r="CN16" s="382"/>
      <c r="CO16" s="382"/>
      <c r="CP16" s="394" t="s">
        <v>468</v>
      </c>
      <c r="CQ16" s="382"/>
      <c r="CR16" s="382"/>
      <c r="CS16" s="382"/>
      <c r="CT16" s="382"/>
      <c r="CU16" s="382"/>
      <c r="CV16" s="382"/>
      <c r="CW16" s="382" t="e">
        <f>HLOOKUP($CV$13,S_Slab_Fact,2)</f>
        <v>#N/A</v>
      </c>
      <c r="CX16" s="382"/>
      <c r="CY16" s="382"/>
      <c r="CZ16" s="382"/>
      <c r="DA16" s="382"/>
      <c r="DB16" s="382"/>
      <c r="DC16" s="382"/>
      <c r="DD16" s="382"/>
      <c r="DE16" s="382"/>
      <c r="DF16" s="382"/>
      <c r="DG16" s="382"/>
      <c r="DH16" s="382"/>
      <c r="DI16" s="382"/>
      <c r="DJ16" s="382"/>
      <c r="DK16" s="382"/>
      <c r="DL16" s="382"/>
      <c r="DM16" s="382"/>
      <c r="DN16" s="382"/>
      <c r="DO16" s="382"/>
      <c r="DP16" s="382"/>
      <c r="DQ16" s="382"/>
      <c r="DR16" s="382"/>
      <c r="DS16" s="382"/>
      <c r="DT16" s="382"/>
      <c r="DU16" s="382"/>
      <c r="DV16" s="382"/>
      <c r="DW16" s="382"/>
      <c r="DX16" s="382"/>
      <c r="DY16" s="382"/>
      <c r="DZ16" s="382"/>
      <c r="EA16" s="382"/>
    </row>
    <row r="17" spans="1:131" ht="18" x14ac:dyDescent="0.35">
      <c r="A17" s="109"/>
      <c r="B17" s="707"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708"/>
      <c r="D17" s="708"/>
      <c r="E17" s="708"/>
      <c r="F17" s="709"/>
      <c r="G17" s="709"/>
      <c r="H17" s="709"/>
      <c r="I17" s="709"/>
      <c r="J17" s="709"/>
      <c r="K17" s="709"/>
      <c r="L17" s="709"/>
      <c r="M17" s="709"/>
      <c r="N17" s="709"/>
      <c r="O17" s="709"/>
      <c r="P17" s="710"/>
      <c r="Q17" s="711" t="s">
        <v>101</v>
      </c>
      <c r="R17" s="710"/>
      <c r="S17" s="711" t="s">
        <v>588</v>
      </c>
      <c r="T17" s="711"/>
      <c r="U17" s="712"/>
      <c r="V17" s="811" t="s">
        <v>517</v>
      </c>
      <c r="W17" s="812"/>
      <c r="X17" s="811" t="s">
        <v>589</v>
      </c>
      <c r="Y17" s="813"/>
      <c r="Z17" s="111"/>
      <c r="AA17" s="382"/>
      <c r="AB17" s="422" t="s">
        <v>102</v>
      </c>
      <c r="AC17" s="382"/>
      <c r="AD17" s="382"/>
      <c r="AE17" s="382"/>
      <c r="AF17" s="382"/>
      <c r="AG17" s="790"/>
      <c r="AH17" s="397" t="s">
        <v>103</v>
      </c>
      <c r="AI17" s="387" t="s">
        <v>104</v>
      </c>
      <c r="AJ17" s="422" t="s">
        <v>105</v>
      </c>
      <c r="AK17" s="422"/>
      <c r="AL17" s="397" t="s">
        <v>106</v>
      </c>
      <c r="AM17" s="435" t="s">
        <v>107</v>
      </c>
      <c r="AN17" s="436"/>
      <c r="AO17" s="437"/>
      <c r="AP17" s="436"/>
      <c r="AQ17" s="436"/>
      <c r="AR17" s="435" t="str">
        <f>O18</f>
        <v>Performance</v>
      </c>
      <c r="AS17" s="438"/>
      <c r="AT17" s="437"/>
      <c r="AU17" s="436"/>
      <c r="AV17" s="435" t="str">
        <f>Q17</f>
        <v>Shading</v>
      </c>
      <c r="AW17" s="438"/>
      <c r="AX17" s="437"/>
      <c r="AY17" s="387" t="s">
        <v>108</v>
      </c>
      <c r="AZ17" s="382"/>
      <c r="BA17" s="412" t="s">
        <v>109</v>
      </c>
      <c r="BB17" s="382"/>
      <c r="BC17" s="382"/>
      <c r="BD17" s="439"/>
      <c r="BE17" s="382"/>
      <c r="BF17" s="382"/>
      <c r="BG17" s="422" t="s">
        <v>110</v>
      </c>
      <c r="BH17" s="382"/>
      <c r="BI17" s="440" t="s">
        <v>115</v>
      </c>
      <c r="BJ17" s="382"/>
      <c r="BK17" s="382"/>
      <c r="BL17" s="382"/>
      <c r="BM17" s="382"/>
      <c r="BN17" s="382"/>
      <c r="BO17" s="382"/>
      <c r="BP17" s="382"/>
      <c r="BQ17" s="382"/>
      <c r="BR17" s="382"/>
      <c r="BS17" s="382"/>
      <c r="BT17" s="382"/>
      <c r="BU17" s="382"/>
      <c r="BV17" s="382"/>
      <c r="BW17" s="382"/>
      <c r="BX17" s="382"/>
      <c r="BY17" s="382"/>
      <c r="BZ17" s="382"/>
      <c r="CA17" s="382"/>
      <c r="CB17" s="382"/>
      <c r="CC17" s="441">
        <f>CC4*ConductanceAccess</f>
        <v>0</v>
      </c>
      <c r="CD17" s="428" t="e">
        <f>CC17/ConductanceAccess</f>
        <v>#DIV/0!</v>
      </c>
      <c r="CE17" s="425" t="e">
        <f>CD17/AllowanceCuA</f>
        <v>#DIV/0!</v>
      </c>
      <c r="CF17" s="382"/>
      <c r="CG17" s="382"/>
      <c r="CH17" s="382"/>
      <c r="CI17" s="382"/>
      <c r="CJ17" s="382"/>
      <c r="CK17" s="382"/>
      <c r="CL17" s="382"/>
      <c r="CM17" s="382"/>
      <c r="CN17" s="382"/>
      <c r="CO17" s="382"/>
      <c r="CP17" s="382"/>
      <c r="CQ17" s="382"/>
      <c r="CR17" s="382"/>
      <c r="CS17" s="382"/>
      <c r="CT17" s="382"/>
      <c r="CU17" s="442" t="e">
        <f t="shared" ref="CU17:CV17" si="0">CT101</f>
        <v>#DIV/0!</v>
      </c>
      <c r="CV17" s="442" t="str">
        <f t="shared" si="0"/>
        <v>Openable Area %</v>
      </c>
      <c r="CW17" s="443"/>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row>
    <row r="18" spans="1:131" ht="36.5" thickBot="1" x14ac:dyDescent="0.45">
      <c r="A18" s="109"/>
      <c r="B18" s="713" t="s">
        <v>111</v>
      </c>
      <c r="C18" s="714"/>
      <c r="D18" s="715"/>
      <c r="E18" s="716"/>
      <c r="F18" s="717" t="s">
        <v>521</v>
      </c>
      <c r="G18" s="806" t="s">
        <v>107</v>
      </c>
      <c r="H18" s="796"/>
      <c r="I18" s="807"/>
      <c r="J18" s="806" t="s">
        <v>520</v>
      </c>
      <c r="K18" s="796"/>
      <c r="L18" s="796"/>
      <c r="M18" s="796"/>
      <c r="N18" s="807"/>
      <c r="O18" s="718" t="s">
        <v>113</v>
      </c>
      <c r="P18" s="719"/>
      <c r="Q18" s="718" t="s">
        <v>602</v>
      </c>
      <c r="R18" s="719"/>
      <c r="S18" s="718" t="s">
        <v>114</v>
      </c>
      <c r="T18" s="720"/>
      <c r="U18" s="721" t="s">
        <v>107</v>
      </c>
      <c r="V18" s="819" t="str">
        <f>IFERROR(IF(Zone=1,"Conduction / Solar gain Not Required","Conduction / Solar gain "&amp;IF(AllInputsOK=FALSE,"",IF(FailedConductance=0," - PASSED "," - FAILED "))&amp;Cu_achieved),"")</f>
        <v/>
      </c>
      <c r="W18" s="820"/>
      <c r="X18" s="819" t="str">
        <f>IFERROR(IF(Zone=8,"no requirement in Climate 8","Solar heat gain "&amp;IF(AllInputsOK=FALSE,"",IF(FailedSHG=0," - PASSED "," - FAILED "))&amp;C_shgc_achieved),"")</f>
        <v/>
      </c>
      <c r="Y18" s="821"/>
      <c r="Z18" s="111"/>
      <c r="AA18" s="382"/>
      <c r="AB18" s="444">
        <f t="array" ref="AB18">MAX(IF(AI20:AI99=TRUE,Rows))</f>
        <v>0</v>
      </c>
      <c r="AC18" s="382"/>
      <c r="AD18" s="382"/>
      <c r="AE18" s="382"/>
      <c r="AF18" s="382"/>
      <c r="AG18" s="790"/>
      <c r="AH18" s="445">
        <f>SUM(AH20:AH99)</f>
        <v>0</v>
      </c>
      <c r="AI18" s="446">
        <f>COUNTIF(AI20:AI99,TRUE)</f>
        <v>0</v>
      </c>
      <c r="AJ18" s="445">
        <f>COUNTIF(AJ20:AJ99,"&gt;0")</f>
        <v>0</v>
      </c>
      <c r="AK18" s="446">
        <f t="shared" ref="AK18:AX18" si="1">COUNTIF(AK20:AK99,TRUE)</f>
        <v>0</v>
      </c>
      <c r="AL18" s="447">
        <f>COUNTIF(AL20:AL99,TRUE)</f>
        <v>0</v>
      </c>
      <c r="AM18" s="448">
        <f t="shared" si="1"/>
        <v>0</v>
      </c>
      <c r="AN18" s="449">
        <f t="shared" si="1"/>
        <v>0</v>
      </c>
      <c r="AO18" s="450"/>
      <c r="AP18" s="451">
        <f>COUNTIF(AP20:AP99,TRUE)</f>
        <v>0</v>
      </c>
      <c r="AQ18" s="451">
        <f>COUNTIF(AQ20:AQ99,TRUE)</f>
        <v>0</v>
      </c>
      <c r="AR18" s="451">
        <f>COUNTIF(AR20:AR99,TRUE)</f>
        <v>0</v>
      </c>
      <c r="AS18" s="452"/>
      <c r="AT18" s="453">
        <f t="shared" si="1"/>
        <v>0</v>
      </c>
      <c r="AU18" s="453">
        <f t="shared" si="1"/>
        <v>0</v>
      </c>
      <c r="AV18" s="448">
        <f>COUNTIF(AV20:AV99,TRUE)</f>
        <v>0</v>
      </c>
      <c r="AW18" s="449">
        <f t="shared" si="1"/>
        <v>0</v>
      </c>
      <c r="AX18" s="454">
        <f t="shared" si="1"/>
        <v>0</v>
      </c>
      <c r="AY18" s="455">
        <f>COUNTIF(AY20:AY99,TRUE)</f>
        <v>0</v>
      </c>
      <c r="AZ18" s="382"/>
      <c r="BA18" s="402">
        <f>SUM(BA20:BA99)+UpperInputsIssues</f>
        <v>0</v>
      </c>
      <c r="BB18" s="387"/>
      <c r="BC18" s="387"/>
      <c r="BD18" s="439"/>
      <c r="BE18" s="456"/>
      <c r="BF18" s="456"/>
      <c r="BG18" s="402">
        <f>COUNTIF(BG20:BG99,TRUE)</f>
        <v>0</v>
      </c>
      <c r="BH18" s="382"/>
      <c r="BI18" s="440" t="s">
        <v>531</v>
      </c>
      <c r="BJ18" s="382"/>
      <c r="BK18" s="382"/>
      <c r="BL18" s="382"/>
      <c r="BM18" s="382"/>
      <c r="BN18" s="382"/>
      <c r="BO18" s="382"/>
      <c r="BP18" s="382"/>
      <c r="BQ18" s="382"/>
      <c r="BR18" s="382"/>
      <c r="BS18" s="440" t="s">
        <v>532</v>
      </c>
      <c r="BT18" s="382"/>
      <c r="BU18" s="382"/>
      <c r="BV18" s="382"/>
      <c r="BW18" s="440" t="s">
        <v>116</v>
      </c>
      <c r="BX18" s="382"/>
      <c r="BY18" s="382"/>
      <c r="BZ18" s="382"/>
      <c r="CA18" s="457">
        <f>IF(Zone=1,1,SUM(CA20:CA99))</f>
        <v>0</v>
      </c>
      <c r="CB18" s="382"/>
      <c r="CC18" s="440" t="s">
        <v>117</v>
      </c>
      <c r="CD18" s="458"/>
      <c r="CE18" s="382"/>
      <c r="CF18" s="382"/>
      <c r="CG18" s="382"/>
      <c r="CH18" s="382"/>
      <c r="CI18" s="382"/>
      <c r="CJ18" s="382"/>
      <c r="CK18" s="382"/>
      <c r="CL18" s="459" t="s">
        <v>118</v>
      </c>
      <c r="CM18" s="459" t="s">
        <v>119</v>
      </c>
      <c r="CN18" s="460" t="s">
        <v>120</v>
      </c>
      <c r="CO18" s="460"/>
      <c r="CP18" s="440" t="s">
        <v>463</v>
      </c>
      <c r="CQ18" s="382"/>
      <c r="CR18" s="382"/>
      <c r="CS18" s="382"/>
      <c r="CT18" s="382"/>
      <c r="CU18" s="382"/>
      <c r="CV18" s="382"/>
      <c r="CW18" s="440" t="s">
        <v>436</v>
      </c>
      <c r="CX18" s="382"/>
      <c r="CY18" s="382"/>
      <c r="CZ18" s="382"/>
      <c r="DA18" s="382"/>
      <c r="DB18" s="382"/>
      <c r="DC18" s="382"/>
      <c r="DD18" s="382"/>
      <c r="DE18" s="382"/>
      <c r="DF18" s="382"/>
      <c r="DG18" s="440" t="s">
        <v>472</v>
      </c>
      <c r="DH18" s="382"/>
      <c r="DI18" s="382"/>
      <c r="DJ18" s="382"/>
      <c r="DK18" s="382"/>
      <c r="DL18" s="382"/>
      <c r="DM18" s="382"/>
      <c r="DN18" s="382"/>
      <c r="DO18" s="440" t="s">
        <v>435</v>
      </c>
      <c r="DP18" s="382"/>
      <c r="DQ18" s="382"/>
      <c r="DR18" s="382"/>
      <c r="DS18" s="382"/>
      <c r="DT18" s="382"/>
      <c r="DU18" s="382"/>
      <c r="DV18" s="382"/>
      <c r="DW18" s="382"/>
      <c r="DX18" s="382"/>
      <c r="DY18" s="382"/>
      <c r="DZ18" s="382"/>
      <c r="EA18" s="382"/>
    </row>
    <row r="19" spans="1:131" ht="100.5" customHeight="1" thickTop="1" thickBot="1" x14ac:dyDescent="0.45">
      <c r="A19" s="109"/>
      <c r="B19" s="722" t="str">
        <f>IF(RowsDisplayed=RowsPreferred,"","     rows")</f>
        <v/>
      </c>
      <c r="C19" s="723" t="s">
        <v>121</v>
      </c>
      <c r="D19" s="796" t="s">
        <v>603</v>
      </c>
      <c r="E19" s="797"/>
      <c r="F19" s="717" t="s">
        <v>585</v>
      </c>
      <c r="G19" s="717" t="s">
        <v>604</v>
      </c>
      <c r="H19" s="717" t="s">
        <v>605</v>
      </c>
      <c r="I19" s="717" t="s">
        <v>606</v>
      </c>
      <c r="J19" s="717" t="s">
        <v>621</v>
      </c>
      <c r="K19" s="717" t="s">
        <v>586</v>
      </c>
      <c r="L19" s="717" t="s">
        <v>629</v>
      </c>
      <c r="M19" s="717" t="s">
        <v>587</v>
      </c>
      <c r="N19" s="717" t="s">
        <v>412</v>
      </c>
      <c r="O19" s="717" t="s">
        <v>607</v>
      </c>
      <c r="P19" s="717" t="s">
        <v>608</v>
      </c>
      <c r="Q19" s="717" t="s">
        <v>609</v>
      </c>
      <c r="R19" s="717" t="s">
        <v>610</v>
      </c>
      <c r="S19" s="717" t="s">
        <v>122</v>
      </c>
      <c r="T19" s="724" t="s">
        <v>611</v>
      </c>
      <c r="U19" s="717" t="s">
        <v>612</v>
      </c>
      <c r="V19" s="717" t="s">
        <v>505</v>
      </c>
      <c r="W19" s="717" t="s">
        <v>506</v>
      </c>
      <c r="X19" s="717" t="s">
        <v>613</v>
      </c>
      <c r="Y19" s="717" t="s">
        <v>591</v>
      </c>
      <c r="Z19" s="111"/>
      <c r="AA19" s="382"/>
      <c r="AB19" s="461" t="s">
        <v>124</v>
      </c>
      <c r="AC19" s="461" t="s">
        <v>125</v>
      </c>
      <c r="AD19" s="462" t="s">
        <v>126</v>
      </c>
      <c r="AE19" s="463"/>
      <c r="AF19" s="463"/>
      <c r="AG19" s="382">
        <f>SUM(AG20:AG99)</f>
        <v>0</v>
      </c>
      <c r="AH19" s="464" t="s">
        <v>127</v>
      </c>
      <c r="AI19" s="464" t="s">
        <v>128</v>
      </c>
      <c r="AJ19" s="464" t="s">
        <v>129</v>
      </c>
      <c r="AK19" s="465" t="s">
        <v>130</v>
      </c>
      <c r="AL19" s="466" t="s">
        <v>131</v>
      </c>
      <c r="AM19" s="466" t="s">
        <v>624</v>
      </c>
      <c r="AN19" s="467" t="s">
        <v>625</v>
      </c>
      <c r="AO19" s="468" t="s">
        <v>132</v>
      </c>
      <c r="AP19" s="466" t="s">
        <v>622</v>
      </c>
      <c r="AQ19" s="466" t="s">
        <v>623</v>
      </c>
      <c r="AR19" s="466" t="s">
        <v>133</v>
      </c>
      <c r="AS19" s="466" t="s">
        <v>134</v>
      </c>
      <c r="AT19" s="466" t="s">
        <v>135</v>
      </c>
      <c r="AU19" s="469" t="s">
        <v>541</v>
      </c>
      <c r="AV19" s="469" t="s">
        <v>136</v>
      </c>
      <c r="AW19" s="466" t="s">
        <v>137</v>
      </c>
      <c r="AX19" s="469" t="s">
        <v>138</v>
      </c>
      <c r="AY19" s="464" t="s">
        <v>139</v>
      </c>
      <c r="AZ19" s="464" t="s">
        <v>140</v>
      </c>
      <c r="BA19" s="464" t="s">
        <v>141</v>
      </c>
      <c r="BB19" s="464" t="s">
        <v>142</v>
      </c>
      <c r="BC19" s="464" t="s">
        <v>540</v>
      </c>
      <c r="BD19" s="470" t="s">
        <v>143</v>
      </c>
      <c r="BE19" s="471" t="s">
        <v>144</v>
      </c>
      <c r="BF19" s="471" t="s">
        <v>145</v>
      </c>
      <c r="BG19" s="469" t="s">
        <v>146</v>
      </c>
      <c r="BH19" s="382" t="s">
        <v>511</v>
      </c>
      <c r="BI19" s="472" t="s">
        <v>147</v>
      </c>
      <c r="BJ19" s="473" t="s">
        <v>148</v>
      </c>
      <c r="BK19" s="473" t="s">
        <v>149</v>
      </c>
      <c r="BL19" s="473" t="s">
        <v>150</v>
      </c>
      <c r="BM19" s="473" t="s">
        <v>151</v>
      </c>
      <c r="BN19" s="473" t="s">
        <v>152</v>
      </c>
      <c r="BO19" s="473" t="s">
        <v>153</v>
      </c>
      <c r="BP19" s="473" t="s">
        <v>154</v>
      </c>
      <c r="BQ19" s="474" t="s">
        <v>464</v>
      </c>
      <c r="BR19" s="382" t="s">
        <v>515</v>
      </c>
      <c r="BS19" s="475" t="s">
        <v>147</v>
      </c>
      <c r="BT19" s="475" t="s">
        <v>148</v>
      </c>
      <c r="BU19" s="475" t="s">
        <v>149</v>
      </c>
      <c r="BV19" s="475" t="s">
        <v>150</v>
      </c>
      <c r="BW19" s="472" t="s">
        <v>155</v>
      </c>
      <c r="BX19" s="473" t="s">
        <v>156</v>
      </c>
      <c r="BY19" s="473" t="s">
        <v>157</v>
      </c>
      <c r="BZ19" s="473" t="s">
        <v>158</v>
      </c>
      <c r="CA19" s="474" t="s">
        <v>159</v>
      </c>
      <c r="CB19" s="382" t="s">
        <v>500</v>
      </c>
      <c r="CC19" s="472" t="s">
        <v>160</v>
      </c>
      <c r="CD19" s="473" t="s">
        <v>161</v>
      </c>
      <c r="CE19" s="476" t="s">
        <v>162</v>
      </c>
      <c r="CF19" s="473" t="s">
        <v>163</v>
      </c>
      <c r="CG19" s="477" t="s">
        <v>164</v>
      </c>
      <c r="CH19" s="477" t="s">
        <v>165</v>
      </c>
      <c r="CI19" s="473" t="s">
        <v>166</v>
      </c>
      <c r="CJ19" s="474" t="s">
        <v>167</v>
      </c>
      <c r="CK19" s="382" t="s">
        <v>502</v>
      </c>
      <c r="CL19" s="382" t="s">
        <v>503</v>
      </c>
      <c r="CM19" s="478" t="s">
        <v>504</v>
      </c>
      <c r="CN19" s="382"/>
      <c r="CO19" s="382"/>
      <c r="CP19" s="474" t="s">
        <v>438</v>
      </c>
      <c r="CQ19" s="474" t="s">
        <v>437</v>
      </c>
      <c r="CR19" s="474" t="s">
        <v>441</v>
      </c>
      <c r="CS19" s="475" t="s">
        <v>439</v>
      </c>
      <c r="CT19" s="474" t="s">
        <v>440</v>
      </c>
      <c r="CU19" s="474" t="s">
        <v>467</v>
      </c>
      <c r="CV19" s="382"/>
      <c r="CW19" s="474" t="s">
        <v>318</v>
      </c>
      <c r="CX19" s="474" t="s">
        <v>319</v>
      </c>
      <c r="CY19" s="474" t="s">
        <v>320</v>
      </c>
      <c r="CZ19" s="474" t="s">
        <v>321</v>
      </c>
      <c r="DA19" s="474" t="s">
        <v>322</v>
      </c>
      <c r="DB19" s="474" t="s">
        <v>491</v>
      </c>
      <c r="DC19" s="474" t="s">
        <v>471</v>
      </c>
      <c r="DD19" s="382"/>
      <c r="DE19" s="474" t="s">
        <v>480</v>
      </c>
      <c r="DF19" s="474" t="s">
        <v>473</v>
      </c>
      <c r="DG19" s="474" t="s">
        <v>474</v>
      </c>
      <c r="DH19" s="474" t="s">
        <v>475</v>
      </c>
      <c r="DI19" s="474" t="s">
        <v>476</v>
      </c>
      <c r="DJ19" s="474" t="s">
        <v>483</v>
      </c>
      <c r="DK19" s="382"/>
      <c r="DL19" s="382"/>
      <c r="DM19" s="382"/>
      <c r="DN19" s="474" t="s">
        <v>484</v>
      </c>
      <c r="DO19" s="474" t="s">
        <v>488</v>
      </c>
      <c r="DP19" s="474" t="s">
        <v>489</v>
      </c>
      <c r="DQ19" s="474" t="s">
        <v>490</v>
      </c>
      <c r="DR19" s="474" t="s">
        <v>485</v>
      </c>
      <c r="DS19" s="474" t="s">
        <v>486</v>
      </c>
      <c r="DT19" s="474" t="s">
        <v>487</v>
      </c>
      <c r="DU19" s="474" t="s">
        <v>492</v>
      </c>
      <c r="DV19" s="382"/>
      <c r="DW19" s="478" t="s">
        <v>400</v>
      </c>
      <c r="DX19" s="478" t="s">
        <v>513</v>
      </c>
      <c r="DY19" s="478" t="s">
        <v>514</v>
      </c>
      <c r="DZ19" s="478" t="s">
        <v>398</v>
      </c>
      <c r="EA19" s="478" t="s">
        <v>412</v>
      </c>
    </row>
    <row r="20" spans="1:131" ht="18.5" thickBot="1" x14ac:dyDescent="0.45">
      <c r="A20" s="109"/>
      <c r="B20" s="725">
        <f>AC20</f>
        <v>20</v>
      </c>
      <c r="C20" s="726">
        <v>1</v>
      </c>
      <c r="D20" s="792"/>
      <c r="E20" s="793"/>
      <c r="F20" s="555"/>
      <c r="G20" s="556"/>
      <c r="H20" s="557"/>
      <c r="I20" s="781"/>
      <c r="J20" s="782"/>
      <c r="K20" s="783"/>
      <c r="L20" s="783"/>
      <c r="M20" s="783"/>
      <c r="N20" s="784"/>
      <c r="O20" s="727"/>
      <c r="P20" s="728"/>
      <c r="Q20" s="729"/>
      <c r="R20" s="730"/>
      <c r="S20" s="731" t="str">
        <f t="shared" ref="S20:S51" si="2">IF(AND(AY20=TRUE,AZ20=TRUE,InputIssues=0),IF(Q20="device",2,IF(BD20=FALSE,1,0.5)*Q20/R20),"")</f>
        <v/>
      </c>
      <c r="T20" s="732" t="str">
        <f t="shared" ref="T20:T51" si="3">IF(AND(AY20=TRUE,InputIssues=0),IF(T$19=F$165,BQ20,IF(T$19=G$165,BZ20,BZ20/BQ20)),"")</f>
        <v/>
      </c>
      <c r="U20" s="733">
        <f t="shared" ref="U20:U51" si="4">IF(InputIssues=0,MAX(G20*H20,I20),0)</f>
        <v>0</v>
      </c>
      <c r="V20" s="117" t="str">
        <f t="shared" ref="V20:V51" si="5">IF(AllInputsOK=FALSE,"",CL20)</f>
        <v/>
      </c>
      <c r="W20" s="234" t="str">
        <f t="shared" ref="W20:W51" si="6">IF(AllInputsOK=FALSE,"",CK20)</f>
        <v/>
      </c>
      <c r="X20" s="734">
        <f t="shared" ref="X20:X99" si="7">IF(AND(AllInputsOK=FALSE,CD20&gt;0),"",CD20)</f>
        <v>0</v>
      </c>
      <c r="Y20" s="735" t="str">
        <f t="shared" ref="Y20:Y51" si="8">IF(AllInputsOK=FALSE,"",CJ20)</f>
        <v/>
      </c>
      <c r="Z20" s="111"/>
      <c r="AA20" s="382"/>
      <c r="AB20" s="382">
        <v>1</v>
      </c>
      <c r="AC20" s="456">
        <f t="shared" ref="AC20:AC58" si="9">IF(AND(RowsPreferred&lt;LastActive,LastActive&gt;=AB20),LastActive,IF(RowsPreferred&gt;=AB20,RowsPreferred,"-"))</f>
        <v>20</v>
      </c>
      <c r="AD20" s="456">
        <f>IF(AI20=TRUE,1,0)</f>
        <v>0</v>
      </c>
      <c r="AE20" s="456">
        <f>COUNTA(J20:N20)</f>
        <v>0</v>
      </c>
      <c r="AF20" s="456" t="b">
        <f>ISBLANK(U20)</f>
        <v>0</v>
      </c>
      <c r="AG20" s="482">
        <f>IF(U20&gt;0,(IF(COUNTA(J20:N20)=5,0,1)),0)</f>
        <v>0</v>
      </c>
      <c r="AH20" s="483">
        <f t="shared" ref="AH20:AH51" si="10">COUNTA(D20:R20)</f>
        <v>0</v>
      </c>
      <c r="AI20" s="484">
        <f>IF(SUM(AH20:AH$99)=0,0,F20&gt;0)</f>
        <v>0</v>
      </c>
      <c r="AJ20" s="483">
        <f t="shared" ref="AJ20:AJ51" si="11">COUNTA(G20:R20)</f>
        <v>0</v>
      </c>
      <c r="AK20" s="484">
        <f>IF(SUM(AH20:AH$99)=0,0,AND(AI20=FALSE,AJ20=0,SUM(AJ20:AJ$99)&gt;0))</f>
        <v>0</v>
      </c>
      <c r="AL20" s="484">
        <f t="shared" ref="AL20" si="12">IF(AH20=0,0,AND(AI20=FALSE,AJ20&gt;0))</f>
        <v>0</v>
      </c>
      <c r="AM20" s="485">
        <f t="shared" ref="AM20:AM51" si="13">IF(AH20=0,0,AND(AN20&lt;&gt;TRUE,COUNTIF(AR20:AX20,TRUE)=0,G20=0,Q20&lt;&gt;"device",R20&gt;0))</f>
        <v>0</v>
      </c>
      <c r="AN20" s="485">
        <f t="shared" ref="AN20:AN51" si="14">IF(AH20=0,0,AND(AI20=TRUE,G20*H20=0,I20=0))</f>
        <v>0</v>
      </c>
      <c r="AO20" s="486">
        <f t="shared" ref="AO20:AO51" si="15">IF(H20=0,0,G20*H20&lt;I20)</f>
        <v>0</v>
      </c>
      <c r="AP20" s="486">
        <f t="shared" ref="AP20:AP51" si="16">IF(AH20=0,0,AND(AI20=TRUE,OR(AND(K20="Ground: direct",AreaA=0),AND(K20="Ground: suspended",AreaB=0),AND(K20="upper",$F$12=0))))</f>
        <v>0</v>
      </c>
      <c r="AQ20" s="486">
        <f>IF(AH20=0,0,AND(AI20=TRUE,OR(J20="",K20="",L20="",M20="",N20="")))</f>
        <v>0</v>
      </c>
      <c r="AR20" s="485">
        <f t="shared" ref="AR20:AR51" si="17">IF(AH20=0,0,AND(AI20=TRUE,AN20=FALSE,ISBLANK(O20)))</f>
        <v>0</v>
      </c>
      <c r="AS20" s="485" t="str">
        <f>IF(AND(AR20=TRUE,AT20=TRUE),AS$19,"")</f>
        <v/>
      </c>
      <c r="AT20" s="485">
        <f t="shared" ref="AT20:AT51" si="18">IF(AH20=0,0,AND(AI20=TRUE,AN20=FALSE,ISBLANK(P20)))</f>
        <v>0</v>
      </c>
      <c r="AU20" s="485">
        <f>IF(AT20=FALSE,P20&gt;0.7,)</f>
        <v>0</v>
      </c>
      <c r="AV20" s="485">
        <f t="shared" ref="AV20:AV51" si="19">IF(AH20=0,0,AND(AR20=FALSE,AT20=FALSE,OR(Q20&lt;0,AND(ISTEXT(Q20),Q20&lt;&gt;"device"))))</f>
        <v>0</v>
      </c>
      <c r="AW20" s="485">
        <f t="shared" ref="AW20:AW51" si="20">IF(AH20=0,0,AND(AI20=TRUE,AN20=FALSE,AR20=FALSE,AT20=FALSE,AV20=FALSE,Q20&gt;0,Q20&lt;&gt;"device",R20=0))</f>
        <v>0</v>
      </c>
      <c r="AX20" s="485">
        <f t="shared" ref="AX20:AX51" si="21">IF(AH20=0,0,AND(AI20=TRUE,AN20=FALSE,AR20=FALSE,AT20=FALSE,R20&gt;0,OR(Q20=0,Q20="device")))</f>
        <v>0</v>
      </c>
      <c r="AY20" s="484">
        <f>IF(AND(AH20=0,AK20&lt;&gt;TRUE),0,AND(AI20=TRUE,COUNTIF(AK20:AN20,TRUE)=0,COUNTIF(AP20:AX20,TRUE)=0))</f>
        <v>0</v>
      </c>
      <c r="AZ20" s="484">
        <f t="shared" ref="AZ20:AZ51" si="22">IF(AH20=0,0,AND(Q20&gt;0,AY20=TRUE))</f>
        <v>0</v>
      </c>
      <c r="BA20" s="483">
        <f>IF(AND(AH20=0,AK20&lt;&gt;TRUE),0,COUNTIF(AL20:AN20,TRUE)+COUNTIF(AP20:AX20,TRUE))</f>
        <v>0</v>
      </c>
      <c r="BB20" s="487" t="str">
        <f>IF(BA20&gt;0,"Input "&amp;IF(AI20=TRUE,"alert","issue")&amp;IF(BA20=1,": ","s: "),"")&amp;BC20</f>
        <v/>
      </c>
      <c r="BC20" s="487" t="str">
        <f>IF(AK20=TRUE,AK$19,"")&amp;IF(AL20=TRUE,AL$19&amp;" (but "&amp;AJ20&amp;" input"&amp;IF(AJ20=1,") ","s) "),"")&amp;IF(AM20=TRUE,AM$19&amp;" ","")&amp;IF(AN20=TRUE,AN$19&amp;" ","")&amp;IF(AP20=TRUE,AP$19&amp;" ","")&amp;IF(AR20=TRUE,AR$19&amp;", ","")&amp;AS20&amp;IF(AT20=TRUE,AT$19&amp;", ","")&amp;IF(AQ20=TRUE,AQ$19,"")&amp;IF(OR(AM20=TRUE,AN20=TRUE,AQ20=TRUE,AR20=TRUE,AT20=TRUE)," needed","")&amp;IF(AV20=TRUE,AV$19&amp;" ","")&amp;IF(AU20=TRUE,AU$19&amp;" ","")&amp;IF(AW20=TRUE,AW$19&amp;" ","")&amp;IF(AX20=TRUE,IF(Q20="device","shading H not needed if device used",AX$19),"")</f>
        <v/>
      </c>
      <c r="BD20" s="484">
        <f t="shared" ref="BD20:BD51" si="23">IF(AH20=0,0,AND(G20&gt;0,R20-G20&gt;0.5))</f>
        <v>0</v>
      </c>
      <c r="BE20" s="484">
        <f t="shared" ref="BE20:BE51" si="24">IF(AH20=0,0,AND(ISNUMBER(S20),S20&gt;2))</f>
        <v>0</v>
      </c>
      <c r="BF20" s="484">
        <f t="shared" ref="BF20:BF51" si="25">IF(AH20=0,0,AND(AI20=TRUE,COUNT(G20:I20)=3,G20*H20&lt;&gt;I20))</f>
        <v>0</v>
      </c>
      <c r="BG20" s="484" t="b">
        <f t="shared" ref="BG20:BG51" si="26">AND(UpperInputsAlerts=0,DudTableInputs=0,COUNTIF(CG20:CH20,TRUE)&lt;&gt;0)</f>
        <v>0</v>
      </c>
      <c r="BH20" s="488" t="str">
        <f t="shared" ref="BH20:BH51" si="27">IFERROR((R20-G20)/Q20,"")</f>
        <v/>
      </c>
      <c r="BI20" s="489">
        <f t="shared" ref="BI20:BI51" si="28">IF(S20="",0,INDEX(Projections,MATCH(S20,Projections,1),1))</f>
        <v>0</v>
      </c>
      <c r="BJ20" s="490">
        <f t="shared" ref="BJ20:BJ51" si="29">IF(S20="",0,IF(BI20=2,2,INDEX(Projections,MATCH(S20,Projections,1)+1,1)))</f>
        <v>0</v>
      </c>
      <c r="BK20" s="490">
        <f>BJ20-BI20</f>
        <v>0</v>
      </c>
      <c r="BL20" s="491">
        <f t="shared" ref="BL20:BL51" si="30">IF(OR(S20="",BK20=0),0,(S20-BI20)/BK20)</f>
        <v>0</v>
      </c>
      <c r="BM20" s="492">
        <f t="shared" ref="BM20:BM51" si="31">IF(OR(AH20=0,AY20&lt;&gt;TRUE),0,F20)</f>
        <v>0</v>
      </c>
      <c r="BN20" s="490">
        <f t="shared" ref="BN20:BN51" si="32">IF(AND($AY20=TRUE,Zone=0),10,IF(OR($BM20=0,$BM20=FALSE),0,IF(Slab_or_Timb="Slab",INDEX(ExposuresSummer,MATCH($BI20,Projections,1),MATCH($BM20,Directions,0),Zone_Col),INDEX(ExposuresSummerTimber,MATCH($BI20,Projections,1),MATCH($BM20,Directions,0),Zone_Col))))</f>
        <v>0</v>
      </c>
      <c r="BO20" s="490">
        <f t="shared" ref="BO20:BO51" si="33">IF(AND($AY20=TRUE,Zone=0),10,IF(OR($BM20=0,$BM20=FALSE),0,IF(Slab_or_Timb="Slab",INDEX(ExposuresSummer,MATCH($BJ20,Projections,1),MATCH($BM20,Directions,0),Zone_Col),INDEX(ExposuresSummerTimber,MATCH($BJ20,Projections,1),MATCH($BM20,Directions,0),Zone_Col))))</f>
        <v>0</v>
      </c>
      <c r="BP20" s="490">
        <f>BN20-BO20</f>
        <v>0</v>
      </c>
      <c r="BQ20" s="493">
        <f t="shared" ref="BQ20:BQ51" si="34">(BN20-BP20*$BL20)*DB20</f>
        <v>0</v>
      </c>
      <c r="BR20" s="458" t="e">
        <f t="shared" ref="BR20:BR51" si="35">BQ20/DB20</f>
        <v>#DIV/0!</v>
      </c>
      <c r="BS20" s="489">
        <f>IF($Q20="device",0,BI20)</f>
        <v>0</v>
      </c>
      <c r="BT20" s="489">
        <f t="shared" ref="BT20:BV20" si="36">IF($Q20="device",0,BJ20)</f>
        <v>0</v>
      </c>
      <c r="BU20" s="489">
        <f t="shared" si="36"/>
        <v>0</v>
      </c>
      <c r="BV20" s="489">
        <f t="shared" si="36"/>
        <v>0</v>
      </c>
      <c r="BW20" s="489">
        <f t="shared" ref="BW20:BW51" si="37">IF(AND($AY20=TRUE,Zone=0),10,IF(OR($BM20=0,$BM20=FALSE),0,IF(Slab_or_Timb="Slab",INDEX(ExposuresWinter,MATCH($BS20,Projections,1),MATCH($BM20,Directions,0),Zone_Col),INDEX(ExposuresWinterTimber,MATCH($BS20,Projections,1),MATCH($BM20,Directions,0),Zone_Col))))</f>
        <v>0</v>
      </c>
      <c r="BX20" s="490">
        <f t="shared" ref="BX20:BX51" si="38">IF(AND($AY20=TRUE,Zone=0),10,IF(OR($BM20=0,$BM20=FALSE),0,IF(Slab_or_Timb="Slab",INDEX(ExposuresWinter,MATCH($BT20,Projections,1),MATCH($BM20,Directions,0),Zone_Col),INDEX(ExposuresWinterTimber,MATCH($BT20,Projections,1),MATCH($BM20,Directions,0),Zone_Col))))</f>
        <v>0</v>
      </c>
      <c r="BY20" s="490">
        <f>BW20-BX20</f>
        <v>0</v>
      </c>
      <c r="BZ20" s="490">
        <f>(BW20-BY20*$BV20)*DU20</f>
        <v>0</v>
      </c>
      <c r="CA20" s="493">
        <f t="shared" ref="CA20:CA51" si="39">IF(P20&gt;0.7,U20*0.7*BZ20,U20*P20*BZ20)</f>
        <v>0</v>
      </c>
      <c r="CB20" s="494" t="e">
        <f t="shared" ref="CB20:CB51" si="40">IF(Zone=1,"N/A",CA20/SUM(CA$20:CA$99))</f>
        <v>#DIV/0!</v>
      </c>
      <c r="CC20" s="489" t="e">
        <f t="shared" ref="CC20:CC51" si="41">(IF(AY20=TRUE,IF(U20="",0,U20)*O20,0))*DJ20</f>
        <v>#DIV/0!</v>
      </c>
      <c r="CD20" s="490">
        <f t="shared" ref="CD20:CD51" si="42">IF(P20&gt;0.7,0.7*IF(U20="",0,U20)*BQ20,P20*IF(U20="",0,U20)*BQ20)</f>
        <v>0</v>
      </c>
      <c r="CE20" s="495">
        <f>IFERROR(IF(AY20&lt;&gt;TRUE,0,CC20/CC$17),"")</f>
        <v>0</v>
      </c>
      <c r="CF20" s="495">
        <f t="shared" ref="CF20:CF51" si="43">IF(AY20&lt;&gt;TRUE,0,CD20/CD$4)</f>
        <v>0</v>
      </c>
      <c r="CG20" s="496" t="e">
        <f t="shared" ref="CG20:CG51" si="44">IF(SUM(CC20:CD20)=0,0,AND(AI20=TRUE,CC$6&lt;0))</f>
        <v>#DIV/0!</v>
      </c>
      <c r="CH20" s="496" t="e">
        <f t="shared" ref="CH20:CH51" si="45">IF(Zone=8,"FALSE",IF(SUM(CC20:CD20)=0,0,AND(AI20=TRUE,CD$6&lt;0)))</f>
        <v>#DIV/0!</v>
      </c>
      <c r="CI20" s="497" t="e">
        <f>IF(SUM(CC20:CD20)=0,"",TEXT(CE20,IF(CE20&lt;0.005,"0.0%","0%"))&amp;" of "&amp;TEXT(CC$8,"0%"))</f>
        <v>#DIV/0!</v>
      </c>
      <c r="CJ20" s="498" t="e">
        <f t="shared" ref="CJ20:CJ51" si="46">IF(SUM(CC20:CD20)=0,"",IF(Zone=8,"not required",TEXT(CF20,IF(CF20&lt;0.005,"0.0%","0%"))&amp;" of "&amp;TEXT(CD$8,"0%")))</f>
        <v>#DIV/0!</v>
      </c>
      <c r="CK20" s="382" t="e">
        <f>IF(CB20&gt;0,TEXT(CB20,IF(CB20&lt;0.005,"0.0%","0%")),"")</f>
        <v>#DIV/0!</v>
      </c>
      <c r="CL20" s="382" t="str">
        <f t="shared" ref="CL20:CL51" si="47">IF(Zone=1,"N/A",IF(CE20&gt;0,TEXT(CE20,IF(CE20&lt;0.005,"0.0%","0%")),""))</f>
        <v/>
      </c>
      <c r="CM20" s="499" t="e">
        <f>(SUM(CC$20:CC$99)-CC20)/(SUM(CA$20:CA$99)-CA20)</f>
        <v>#DIV/0!</v>
      </c>
      <c r="CN20" s="500" t="e">
        <f>$CD$17-CM20</f>
        <v>#DIV/0!</v>
      </c>
      <c r="CO20" s="500">
        <f>IFERROR(CC20/CA20,0)</f>
        <v>0</v>
      </c>
      <c r="CP20" s="382">
        <f t="shared" ref="CP20:CP51" si="48">IF(G20&lt;1.5,1,2)</f>
        <v>1</v>
      </c>
      <c r="CQ20" s="382">
        <f t="shared" ref="CQ20:CQ51" si="49">IF(H20&lt;=1.2,1,IF(H20&lt;2.7,2,IF(H20&gt;=2.7,3,"input")))</f>
        <v>1</v>
      </c>
      <c r="CR20" s="382" t="str">
        <f t="shared" ref="CR20:CR51" si="50">IFERROR(IF(G20&lt;=1.5,VLOOKUP(N20,Win_Open_less_1.5,CQ20+2,1),VLOOKUP(N20,Win_Open_more_1.5,CQ20+2,1)),"")</f>
        <v/>
      </c>
      <c r="CS20" s="382">
        <f t="shared" ref="CS20:CS51" si="51">IF(CR20=0,0,IF(CR20="",N20,CR20))</f>
        <v>0</v>
      </c>
      <c r="CT20" s="501">
        <f t="shared" ref="CT20:CT51" si="52">CS20*U20</f>
        <v>0</v>
      </c>
      <c r="CU20" s="382" t="str">
        <f t="shared" ref="CU20:CU51" si="53">IF(CT20&gt;0.9*U20,"error","OK")</f>
        <v>OK</v>
      </c>
      <c r="CV20" s="425">
        <f t="shared" ref="CV20:CV51" si="54">IF(N20="",0.05,IF($CU$17&lt;=0.05,0.05,IFERROR(CT20/U20,"")))</f>
        <v>0.05</v>
      </c>
      <c r="CW20" s="501" t="e">
        <f t="shared" ref="CW20:CW51" si="55">IF(Slab_or_Timb="Slab",IF(J20&lt;&gt;"Other",HLOOKUP($CV$13,S_Slab_Fact,2),1),IF(J20&lt;&gt;"Other",HLOOKUP($CV$13,S_Timb_Fact,2),1))</f>
        <v>#DIV/0!</v>
      </c>
      <c r="CX20" s="501" t="e">
        <f t="shared" ref="CX20:CX51" si="56">IF(Slab_or_Timb="Slab",IF($M20="Dark",HLOOKUP($CV$13,S_Slab_Fact,4),1),IF($M20="Dark",HLOOKUP($CV$13,S_Timb_Fact,4),1))</f>
        <v>#DIV/0!</v>
      </c>
      <c r="CY20" s="501" t="e">
        <f t="shared" ref="CY20:CY51" si="57">IF(Slab_or_Timb="Slab",IF($M20="Medium",HLOOKUP($CV$13,S_Slab_Fact,5),1),IF($M20="Medium",HLOOKUP($CV$13,S_Timb_Fact,5),1))</f>
        <v>#DIV/0!</v>
      </c>
      <c r="CZ20" s="501" t="e">
        <f t="shared" ref="CZ20:CZ51" si="58">IF(Slab_or_Timb="Slab",IF($M20="Light",HLOOKUP($CV$13,S_Slab_Fact,6),1),IF($M20="Light",HLOOKUP($CV$13,S_Timb_Fact,6),1))</f>
        <v>#DIV/0!</v>
      </c>
      <c r="DA20" s="501">
        <f t="shared" ref="DA20:DA51" si="59">IFERROR(IF(Slab_or_Timb="Slab",IF($DC20="Hard",HLOOKUP($CV$13,S_Slab_Fact,7),1),1),1)</f>
        <v>1</v>
      </c>
      <c r="DB20" s="501">
        <f t="shared" ref="DB20:DB51" si="60">IF(U20=0,0,CW20*CX20*CY20*CZ20*DA20)</f>
        <v>0</v>
      </c>
      <c r="DC20" s="382" t="str">
        <f t="shared" ref="DC20:DC51" si="61">IF(AND(K20="Ground: Direct",J20&lt;&gt;"Utility"),VLOOKUP(L20,Hard_Floor,2),"Soft")</f>
        <v>Soft</v>
      </c>
      <c r="DD20" s="382"/>
      <c r="DE20" s="382">
        <f t="shared" ref="DE20:DE51" si="62">IFERROR(VLOOKUP(F20,Orient_Num,2),0)</f>
        <v>0</v>
      </c>
      <c r="DF20" s="501" t="e">
        <f t="shared" ref="DF20:DF51" si="63">IF(Slab_or_Timb="Slab",IFERROR(HLOOKUP(DE20,OC_Fact_Slab,Zone_Col+1),0),IFERROR(HLOOKUP(DE20,OC_Fact_Timb,Zone_Col+1),0))</f>
        <v>#DIV/0!</v>
      </c>
      <c r="DG20" s="501" t="e">
        <f t="shared" ref="DG20:DG51" si="64">IF(Slab_or_Timb="Slab",IF(J20&lt;&gt;"Other",HLOOKUP($CV$13,W_Slab_Fact,4),1),IF(J20&lt;&gt;"Other",HLOOKUP($CV$13,W_Timb_Fact,4),1))</f>
        <v>#DIV/0!</v>
      </c>
      <c r="DH20" s="501" t="e">
        <f t="shared" ref="DH20:DH51" si="65">IF(Slab_or_Timb="Slab",IF(J20&lt;&gt;"Other",HLOOKUP($CV$13,W_Slab_Fact,2),1),IF(J20&lt;&gt;"Other",HLOOKUP($CV$13,W_Timb_Fact,2),1))</f>
        <v>#DIV/0!</v>
      </c>
      <c r="DI20" s="501" t="e">
        <f t="shared" ref="DI20:DI51" si="66">IF(Slab_or_Timb="Slab",IF(K20="Upper",HLOOKUP($CV$13,W_Slab_Fact,3),1),IF(K20="Upper",HLOOKUP($CV$13,W_Timb_Fact,3),1))</f>
        <v>#DIV/0!</v>
      </c>
      <c r="DJ20" s="501" t="e">
        <f>DF20*DG20*DH20*DI20</f>
        <v>#DIV/0!</v>
      </c>
      <c r="DK20" s="382"/>
      <c r="DL20" s="382"/>
      <c r="DM20" s="382"/>
      <c r="DN20" s="382">
        <f t="shared" ref="DN20:DN51" si="67">IFERROR(IF(Slab_or_Timb="Slab",IF($DC20="Hard",HLOOKUP($CV$13,W_Slab_Fact,9),1),1),1)</f>
        <v>1</v>
      </c>
      <c r="DO20" s="501" t="e">
        <f t="shared" ref="DO20:DO51" si="68">IF(Slab_or_Timb="Slab",IF($M20="Dark",HLOOKUP($CV$13,W_Slab_Fact,6),1),IF($M20="Dark",HLOOKUP($CV$13,W_Timb_Fact,6),1))</f>
        <v>#DIV/0!</v>
      </c>
      <c r="DP20" s="501" t="e">
        <f t="shared" ref="DP20:DP51" si="69">IF(Slab_or_Timb="Slab",IF($M20="Medium",HLOOKUP($CV$13,W_Slab_Fact,7),1),IF($M20="Medium",HLOOKUP($CV$13,W_Timb_Fact,7),1))</f>
        <v>#DIV/0!</v>
      </c>
      <c r="DQ20" s="501" t="e">
        <f t="shared" ref="DQ20:DQ51" si="70">IF(Slab_or_Timb="Slab",IF($M20="Light",HLOOKUP($CV$13,W_Slab_Fact,8),1),IF($M20="Light",HLOOKUP($CV$13,W_Timb_Fact,8),1))</f>
        <v>#DIV/0!</v>
      </c>
      <c r="DR20" s="501" t="e">
        <f t="shared" ref="DR20:DR51" si="71">IF(Slab_or_Timb="Slab",IF(J20&lt;&gt;"Other",HLOOKUP($CV$13,W_Slab_Fact,5),1),IF(J20&lt;&gt;"Other",HLOOKUP($CV$13,W_Timb_Fact,5),1))</f>
        <v>#DIV/0!</v>
      </c>
      <c r="DS20" s="501" t="e">
        <f t="shared" ref="DS20:DS51" si="72">IF(Slab_or_Timb="Slab",IF(J20&lt;&gt;"Other",HLOOKUP($CV$13,W_Slab_Fact,2),1),IF(J20&lt;&gt;"Other",HLOOKUP($CV$13,W_Timb_Fact,2),1))</f>
        <v>#DIV/0!</v>
      </c>
      <c r="DT20" s="501" t="e">
        <f t="shared" ref="DT20:DT51" si="73">IF(Slab_or_Timb="Slab",IF(K20="Upper",HLOOKUP($CV$13,W_Slab_Fact,3),1),IF(K20="Upper",HLOOKUP($CV$13,W_Timb_Fact,3),1))</f>
        <v>#DIV/0!</v>
      </c>
      <c r="DU20" s="501">
        <f t="shared" ref="DU20:DU51" si="74">IF(U20=0,0,DN20*DO20*DP20*DQ20*DR20*DS20*DT20)</f>
        <v>0</v>
      </c>
      <c r="DV20" s="382"/>
      <c r="DW20" s="382" t="b">
        <f t="shared" ref="DW20:DW51" si="75">ISBLANK(J20)</f>
        <v>1</v>
      </c>
      <c r="DX20" s="382" t="b">
        <f t="shared" ref="DX20:DX51" si="76">ISBLANK(K20)</f>
        <v>1</v>
      </c>
      <c r="DY20" s="382" t="b">
        <f t="shared" ref="DY20:DY51" si="77">ISBLANK(L20)</f>
        <v>1</v>
      </c>
      <c r="DZ20" s="382" t="b">
        <f t="shared" ref="DZ20:DZ51" si="78">ISBLANK(M20)</f>
        <v>1</v>
      </c>
      <c r="EA20" s="382" t="b">
        <f t="shared" ref="EA20:EA51" si="79">ISBLANK(N20)</f>
        <v>1</v>
      </c>
    </row>
    <row r="21" spans="1:131" ht="18.5" thickBot="1" x14ac:dyDescent="0.45">
      <c r="A21" s="109"/>
      <c r="B21" s="725">
        <f t="shared" ref="B21:B99" si="80">AC21</f>
        <v>20</v>
      </c>
      <c r="C21" s="118">
        <v>2</v>
      </c>
      <c r="D21" s="792"/>
      <c r="E21" s="793"/>
      <c r="F21" s="555"/>
      <c r="G21" s="556"/>
      <c r="H21" s="557"/>
      <c r="I21" s="789"/>
      <c r="J21" s="559"/>
      <c r="K21" s="560"/>
      <c r="L21" s="560"/>
      <c r="M21" s="560"/>
      <c r="N21" s="561"/>
      <c r="O21" s="727"/>
      <c r="P21" s="728"/>
      <c r="Q21" s="729"/>
      <c r="R21" s="730"/>
      <c r="S21" s="112" t="str">
        <f t="shared" si="2"/>
        <v/>
      </c>
      <c r="T21" s="113" t="str">
        <f t="shared" si="3"/>
        <v/>
      </c>
      <c r="U21" s="114">
        <f t="shared" si="4"/>
        <v>0</v>
      </c>
      <c r="V21" s="117" t="str">
        <f t="shared" si="5"/>
        <v/>
      </c>
      <c r="W21" s="234" t="str">
        <f t="shared" si="6"/>
        <v/>
      </c>
      <c r="X21" s="115">
        <f t="shared" si="7"/>
        <v>0</v>
      </c>
      <c r="Y21" s="116" t="str">
        <f t="shared" si="8"/>
        <v/>
      </c>
      <c r="Z21" s="111"/>
      <c r="AA21" s="382"/>
      <c r="AB21" s="382">
        <v>2</v>
      </c>
      <c r="AC21" s="456">
        <f t="shared" si="9"/>
        <v>20</v>
      </c>
      <c r="AD21" s="456">
        <f t="shared" ref="AD21:AD58" si="81">IF(AI21=TRUE,1,0)</f>
        <v>0</v>
      </c>
      <c r="AE21" s="456">
        <f t="shared" ref="AE21:AE84" si="82">COUNTA(J21:N21)</f>
        <v>0</v>
      </c>
      <c r="AF21" s="456"/>
      <c r="AG21" s="482">
        <f t="shared" ref="AG21:AG84" si="83">IF(U21&gt;0,(IF(COUNTA(J21:N21)=5,0,1)),0)</f>
        <v>0</v>
      </c>
      <c r="AH21" s="508">
        <f t="shared" si="10"/>
        <v>0</v>
      </c>
      <c r="AI21" s="509">
        <f>IF(SUM(AH21:AH$99)=0,0,F21&gt;0)</f>
        <v>0</v>
      </c>
      <c r="AJ21" s="508">
        <f t="shared" si="11"/>
        <v>0</v>
      </c>
      <c r="AK21" s="509">
        <f>IF(SUM(AH21:AH$99)=0,0,AND(AI21=FALSE,AJ21=0,SUM(AJ21:AJ$99)&gt;0))</f>
        <v>0</v>
      </c>
      <c r="AL21" s="509">
        <f t="shared" ref="AL21:AL84" si="84">IF(AH21=0,0,AND(AI21=FALSE,AJ21&gt;0))</f>
        <v>0</v>
      </c>
      <c r="AM21" s="509">
        <f t="shared" si="13"/>
        <v>0</v>
      </c>
      <c r="AN21" s="510">
        <f t="shared" si="14"/>
        <v>0</v>
      </c>
      <c r="AO21" s="510">
        <f t="shared" si="15"/>
        <v>0</v>
      </c>
      <c r="AP21" s="486">
        <f t="shared" si="16"/>
        <v>0</v>
      </c>
      <c r="AQ21" s="486">
        <f t="shared" ref="AQ21:AQ84" si="85">IF(AH21=0,0,AND(AI21=TRUE,OR(J21="",K21="",L21="",M21="",N21="")))</f>
        <v>0</v>
      </c>
      <c r="AR21" s="509">
        <f t="shared" si="17"/>
        <v>0</v>
      </c>
      <c r="AS21" s="509" t="str">
        <f t="shared" ref="AS21:AS84" si="86">IF(AND(AR21=TRUE,AT21=TRUE),AS$19,"")</f>
        <v/>
      </c>
      <c r="AT21" s="509">
        <f t="shared" si="18"/>
        <v>0</v>
      </c>
      <c r="AU21" s="485">
        <f t="shared" ref="AU21:AU84" si="87">IF(AT21=FALSE,P21&gt;0.7,)</f>
        <v>0</v>
      </c>
      <c r="AV21" s="509">
        <f t="shared" si="19"/>
        <v>0</v>
      </c>
      <c r="AW21" s="509">
        <f t="shared" si="20"/>
        <v>0</v>
      </c>
      <c r="AX21" s="509">
        <f t="shared" si="21"/>
        <v>0</v>
      </c>
      <c r="AY21" s="484">
        <f t="shared" ref="AY21:AY84" si="88">IF(AND(AH21=0,AK21&lt;&gt;TRUE),0,AND(AI21=TRUE,COUNTIF(AK21:AN21,TRUE)=0,COUNTIF(AP21:AX21,TRUE)=0))</f>
        <v>0</v>
      </c>
      <c r="AZ21" s="509">
        <f t="shared" si="22"/>
        <v>0</v>
      </c>
      <c r="BA21" s="483">
        <f t="shared" ref="BA21:BA84" si="89">IF(AND(AH21=0,AK21&lt;&gt;TRUE),0,COUNTIF(AL21:AN21,TRUE)+COUNTIF(AP21:AX21,TRUE))</f>
        <v>0</v>
      </c>
      <c r="BB21" s="487" t="str">
        <f t="shared" ref="BB21:BB84" si="90">IF(BA21&gt;0,"Input "&amp;IF(AI21=TRUE,"alert","issue")&amp;IF(BA21=1,": ","s: "),"")&amp;BC21</f>
        <v/>
      </c>
      <c r="BC21" s="487" t="str">
        <f t="shared" ref="BC21:BC84" si="91">IF(AK21=TRUE,AK$19,"")&amp;IF(AL21=TRUE,AL$19&amp;" (but "&amp;AJ21&amp;" input"&amp;IF(AJ21=1,") ","s) "),"")&amp;IF(AM21=TRUE,AM$19&amp;" ","")&amp;IF(AN21=TRUE,AN$19&amp;" ","")&amp;IF(AP21=TRUE,AP$19&amp;" ","")&amp;IF(AR21=TRUE,AR$19&amp;", ","")&amp;AS21&amp;IF(AT21=TRUE,AT$19&amp;", ","")&amp;IF(AQ21=TRUE,AQ$19,"")&amp;IF(OR(AM21=TRUE,AN21=TRUE,AQ21=TRUE,AR21=TRUE,AT21=TRUE)," needed","")&amp;IF(AV21=TRUE,AV$19&amp;" ","")&amp;IF(AU21=TRUE,AU$19&amp;" ","")&amp;IF(AW21=TRUE,AW$19&amp;" ","")&amp;IF(AX21=TRUE,IF(Q21="device","shading H not needed if device used",AX$19),"")</f>
        <v/>
      </c>
      <c r="BD21" s="509">
        <f t="shared" si="23"/>
        <v>0</v>
      </c>
      <c r="BE21" s="509">
        <f t="shared" si="24"/>
        <v>0</v>
      </c>
      <c r="BF21" s="509">
        <f t="shared" si="25"/>
        <v>0</v>
      </c>
      <c r="BG21" s="511" t="b">
        <f t="shared" si="26"/>
        <v>0</v>
      </c>
      <c r="BH21" s="488" t="str">
        <f t="shared" si="27"/>
        <v/>
      </c>
      <c r="BI21" s="512">
        <f t="shared" si="28"/>
        <v>0</v>
      </c>
      <c r="BJ21" s="513">
        <f t="shared" si="29"/>
        <v>0</v>
      </c>
      <c r="BK21" s="513">
        <f t="shared" ref="BK21:BK99" si="92">BJ21-BI21</f>
        <v>0</v>
      </c>
      <c r="BL21" s="491">
        <f t="shared" si="30"/>
        <v>0</v>
      </c>
      <c r="BM21" s="514">
        <f t="shared" si="31"/>
        <v>0</v>
      </c>
      <c r="BN21" s="490">
        <f t="shared" si="32"/>
        <v>0</v>
      </c>
      <c r="BO21" s="490">
        <f t="shared" si="33"/>
        <v>0</v>
      </c>
      <c r="BP21" s="513">
        <f t="shared" ref="BP21:BP99" si="93">BN21-BO21</f>
        <v>0</v>
      </c>
      <c r="BQ21" s="493">
        <f t="shared" si="34"/>
        <v>0</v>
      </c>
      <c r="BR21" s="458" t="e">
        <f t="shared" si="35"/>
        <v>#DIV/0!</v>
      </c>
      <c r="BS21" s="512">
        <f>IF($Q21="device",0,BI21)</f>
        <v>0</v>
      </c>
      <c r="BT21" s="513">
        <f t="shared" ref="BT21" si="94">IF($Q21="device",0,BJ21)</f>
        <v>0</v>
      </c>
      <c r="BU21" s="513">
        <f t="shared" ref="BU21" si="95">IF($Q21="device",0,BK21)</f>
        <v>0</v>
      </c>
      <c r="BV21" s="491">
        <f t="shared" ref="BV21" si="96">IF($Q21="device",0,BL21)</f>
        <v>0</v>
      </c>
      <c r="BW21" s="489">
        <f t="shared" si="37"/>
        <v>0</v>
      </c>
      <c r="BX21" s="490">
        <f t="shared" si="38"/>
        <v>0</v>
      </c>
      <c r="BY21" s="513">
        <f t="shared" ref="BY21:BY99" si="97">BW21-BX21</f>
        <v>0</v>
      </c>
      <c r="BZ21" s="490">
        <f t="shared" ref="BZ21:BZ84" si="98">(BW21-BY21*$BV21)*DU21</f>
        <v>0</v>
      </c>
      <c r="CA21" s="493">
        <f t="shared" si="39"/>
        <v>0</v>
      </c>
      <c r="CB21" s="494" t="e">
        <f t="shared" si="40"/>
        <v>#DIV/0!</v>
      </c>
      <c r="CC21" s="489" t="e">
        <f t="shared" si="41"/>
        <v>#DIV/0!</v>
      </c>
      <c r="CD21" s="490">
        <f t="shared" si="42"/>
        <v>0</v>
      </c>
      <c r="CE21" s="495">
        <f t="shared" ref="CE21:CE52" si="99">IF(AY21&lt;&gt;TRUE,0,CC21/CC$17)</f>
        <v>0</v>
      </c>
      <c r="CF21" s="495">
        <f t="shared" si="43"/>
        <v>0</v>
      </c>
      <c r="CG21" s="496" t="e">
        <f t="shared" si="44"/>
        <v>#DIV/0!</v>
      </c>
      <c r="CH21" s="496" t="e">
        <f t="shared" si="45"/>
        <v>#DIV/0!</v>
      </c>
      <c r="CI21" s="497" t="e">
        <f t="shared" ref="CI21:CI99" si="100">IF(SUM(CC21:CD21)=0,"",TEXT(CE21,IF(CE21&lt;0.005,"0.0%","0%"))&amp;" of "&amp;TEXT(CC$8,"0%"))</f>
        <v>#DIV/0!</v>
      </c>
      <c r="CJ21" s="498" t="e">
        <f t="shared" si="46"/>
        <v>#DIV/0!</v>
      </c>
      <c r="CK21" s="382" t="e">
        <f t="shared" ref="CK21:CK84" si="101">IF(CB21&gt;0,TEXT(CB21,IF(CB21&lt;0.005,"0.0%","0%")),"")</f>
        <v>#DIV/0!</v>
      </c>
      <c r="CL21" s="382" t="str">
        <f t="shared" si="47"/>
        <v/>
      </c>
      <c r="CM21" s="499" t="e">
        <f t="shared" ref="CM21:CM84" si="102">(SUM(CC$20:CC$99)-CC21)/(SUM(CA$20:CA$99)-CA21)</f>
        <v>#DIV/0!</v>
      </c>
      <c r="CN21" s="500" t="e">
        <f t="shared" ref="CN21:CN84" si="103">$CD$17-CM21</f>
        <v>#DIV/0!</v>
      </c>
      <c r="CO21" s="500">
        <f t="shared" ref="CO21:CO84" si="104">IFERROR(CC21/CA21,0)</f>
        <v>0</v>
      </c>
      <c r="CP21" s="382">
        <f t="shared" si="48"/>
        <v>1</v>
      </c>
      <c r="CQ21" s="382">
        <f t="shared" si="49"/>
        <v>1</v>
      </c>
      <c r="CR21" s="382" t="str">
        <f t="shared" si="50"/>
        <v/>
      </c>
      <c r="CS21" s="382">
        <f t="shared" si="51"/>
        <v>0</v>
      </c>
      <c r="CT21" s="501">
        <f t="shared" si="52"/>
        <v>0</v>
      </c>
      <c r="CU21" s="382" t="str">
        <f t="shared" si="53"/>
        <v>OK</v>
      </c>
      <c r="CV21" s="425">
        <f t="shared" si="54"/>
        <v>0.05</v>
      </c>
      <c r="CW21" s="501" t="e">
        <f t="shared" si="55"/>
        <v>#DIV/0!</v>
      </c>
      <c r="CX21" s="501" t="e">
        <f t="shared" si="56"/>
        <v>#DIV/0!</v>
      </c>
      <c r="CY21" s="501" t="e">
        <f t="shared" si="57"/>
        <v>#DIV/0!</v>
      </c>
      <c r="CZ21" s="501" t="e">
        <f t="shared" si="58"/>
        <v>#DIV/0!</v>
      </c>
      <c r="DA21" s="501">
        <f t="shared" si="59"/>
        <v>1</v>
      </c>
      <c r="DB21" s="501">
        <f t="shared" si="60"/>
        <v>0</v>
      </c>
      <c r="DC21" s="382" t="str">
        <f t="shared" si="61"/>
        <v>Soft</v>
      </c>
      <c r="DD21" s="382"/>
      <c r="DE21" s="382">
        <f t="shared" si="62"/>
        <v>0</v>
      </c>
      <c r="DF21" s="501" t="e">
        <f t="shared" si="63"/>
        <v>#DIV/0!</v>
      </c>
      <c r="DG21" s="501" t="e">
        <f t="shared" si="64"/>
        <v>#DIV/0!</v>
      </c>
      <c r="DH21" s="501" t="e">
        <f t="shared" si="65"/>
        <v>#DIV/0!</v>
      </c>
      <c r="DI21" s="501" t="e">
        <f t="shared" si="66"/>
        <v>#DIV/0!</v>
      </c>
      <c r="DJ21" s="501" t="e">
        <f t="shared" ref="DJ21:DJ84" si="105">DF21*DG21*DH21*DI21</f>
        <v>#DIV/0!</v>
      </c>
      <c r="DK21" s="382"/>
      <c r="DL21" s="382"/>
      <c r="DM21" s="382"/>
      <c r="DN21" s="382">
        <f t="shared" si="67"/>
        <v>1</v>
      </c>
      <c r="DO21" s="501" t="e">
        <f t="shared" si="68"/>
        <v>#DIV/0!</v>
      </c>
      <c r="DP21" s="501" t="e">
        <f t="shared" si="69"/>
        <v>#DIV/0!</v>
      </c>
      <c r="DQ21" s="501" t="e">
        <f t="shared" si="70"/>
        <v>#DIV/0!</v>
      </c>
      <c r="DR21" s="501" t="e">
        <f t="shared" si="71"/>
        <v>#DIV/0!</v>
      </c>
      <c r="DS21" s="501" t="e">
        <f t="shared" si="72"/>
        <v>#DIV/0!</v>
      </c>
      <c r="DT21" s="501" t="e">
        <f t="shared" si="73"/>
        <v>#DIV/0!</v>
      </c>
      <c r="DU21" s="501">
        <f t="shared" si="74"/>
        <v>0</v>
      </c>
      <c r="DV21" s="382"/>
      <c r="DW21" s="382" t="b">
        <f t="shared" si="75"/>
        <v>1</v>
      </c>
      <c r="DX21" s="382" t="b">
        <f t="shared" si="76"/>
        <v>1</v>
      </c>
      <c r="DY21" s="382" t="b">
        <f t="shared" si="77"/>
        <v>1</v>
      </c>
      <c r="DZ21" s="382" t="b">
        <f t="shared" si="78"/>
        <v>1</v>
      </c>
      <c r="EA21" s="382" t="b">
        <f t="shared" si="79"/>
        <v>1</v>
      </c>
    </row>
    <row r="22" spans="1:131" ht="18.5" thickBot="1" x14ac:dyDescent="0.45">
      <c r="A22" s="109"/>
      <c r="B22" s="725">
        <f t="shared" si="80"/>
        <v>20</v>
      </c>
      <c r="C22" s="118">
        <v>3</v>
      </c>
      <c r="D22" s="792"/>
      <c r="E22" s="793"/>
      <c r="F22" s="555"/>
      <c r="G22" s="556"/>
      <c r="H22" s="557"/>
      <c r="I22" s="785"/>
      <c r="J22" s="786"/>
      <c r="K22" s="787"/>
      <c r="L22" s="787"/>
      <c r="M22" s="787"/>
      <c r="N22" s="788"/>
      <c r="O22" s="727"/>
      <c r="P22" s="728"/>
      <c r="Q22" s="729"/>
      <c r="R22" s="730"/>
      <c r="S22" s="112" t="str">
        <f t="shared" si="2"/>
        <v/>
      </c>
      <c r="T22" s="113" t="str">
        <f t="shared" si="3"/>
        <v/>
      </c>
      <c r="U22" s="114">
        <f t="shared" si="4"/>
        <v>0</v>
      </c>
      <c r="V22" s="117" t="str">
        <f t="shared" si="5"/>
        <v/>
      </c>
      <c r="W22" s="234" t="str">
        <f t="shared" si="6"/>
        <v/>
      </c>
      <c r="X22" s="115">
        <f t="shared" si="7"/>
        <v>0</v>
      </c>
      <c r="Y22" s="116" t="str">
        <f t="shared" si="8"/>
        <v/>
      </c>
      <c r="Z22" s="111"/>
      <c r="AA22" s="382"/>
      <c r="AB22" s="382">
        <v>3</v>
      </c>
      <c r="AC22" s="456">
        <f t="shared" si="9"/>
        <v>20</v>
      </c>
      <c r="AD22" s="456">
        <f t="shared" si="81"/>
        <v>0</v>
      </c>
      <c r="AE22" s="456">
        <f t="shared" si="82"/>
        <v>0</v>
      </c>
      <c r="AF22" s="456"/>
      <c r="AG22" s="482">
        <f t="shared" si="83"/>
        <v>0</v>
      </c>
      <c r="AH22" s="508">
        <f t="shared" si="10"/>
        <v>0</v>
      </c>
      <c r="AI22" s="509">
        <f>IF(SUM(AH22:AH$99)=0,0,F22&gt;0)</f>
        <v>0</v>
      </c>
      <c r="AJ22" s="508">
        <f t="shared" si="11"/>
        <v>0</v>
      </c>
      <c r="AK22" s="509">
        <f>IF(SUM(AH22:AH$99)=0,0,AND(AI22=FALSE,AJ22=0,SUM(AJ22:AJ$99)&gt;0))</f>
        <v>0</v>
      </c>
      <c r="AL22" s="509">
        <f t="shared" si="84"/>
        <v>0</v>
      </c>
      <c r="AM22" s="509">
        <f t="shared" si="13"/>
        <v>0</v>
      </c>
      <c r="AN22" s="510">
        <f t="shared" si="14"/>
        <v>0</v>
      </c>
      <c r="AO22" s="510">
        <f t="shared" si="15"/>
        <v>0</v>
      </c>
      <c r="AP22" s="486">
        <f t="shared" si="16"/>
        <v>0</v>
      </c>
      <c r="AQ22" s="486">
        <f t="shared" si="85"/>
        <v>0</v>
      </c>
      <c r="AR22" s="509">
        <f t="shared" si="17"/>
        <v>0</v>
      </c>
      <c r="AS22" s="509" t="str">
        <f t="shared" si="86"/>
        <v/>
      </c>
      <c r="AT22" s="509">
        <f t="shared" si="18"/>
        <v>0</v>
      </c>
      <c r="AU22" s="485">
        <f t="shared" si="87"/>
        <v>0</v>
      </c>
      <c r="AV22" s="509">
        <f t="shared" si="19"/>
        <v>0</v>
      </c>
      <c r="AW22" s="509">
        <f t="shared" si="20"/>
        <v>0</v>
      </c>
      <c r="AX22" s="509">
        <f t="shared" si="21"/>
        <v>0</v>
      </c>
      <c r="AY22" s="484">
        <f t="shared" si="88"/>
        <v>0</v>
      </c>
      <c r="AZ22" s="509">
        <f t="shared" si="22"/>
        <v>0</v>
      </c>
      <c r="BA22" s="483">
        <f t="shared" si="89"/>
        <v>0</v>
      </c>
      <c r="BB22" s="487" t="str">
        <f t="shared" si="90"/>
        <v/>
      </c>
      <c r="BC22" s="487" t="str">
        <f t="shared" si="91"/>
        <v/>
      </c>
      <c r="BD22" s="509">
        <f t="shared" si="23"/>
        <v>0</v>
      </c>
      <c r="BE22" s="509">
        <f t="shared" si="24"/>
        <v>0</v>
      </c>
      <c r="BF22" s="509">
        <f t="shared" si="25"/>
        <v>0</v>
      </c>
      <c r="BG22" s="511" t="b">
        <f t="shared" si="26"/>
        <v>0</v>
      </c>
      <c r="BH22" s="488" t="str">
        <f t="shared" si="27"/>
        <v/>
      </c>
      <c r="BI22" s="512">
        <f t="shared" si="28"/>
        <v>0</v>
      </c>
      <c r="BJ22" s="513">
        <f t="shared" si="29"/>
        <v>0</v>
      </c>
      <c r="BK22" s="513">
        <f t="shared" si="92"/>
        <v>0</v>
      </c>
      <c r="BL22" s="515">
        <f t="shared" si="30"/>
        <v>0</v>
      </c>
      <c r="BM22" s="514">
        <f t="shared" si="31"/>
        <v>0</v>
      </c>
      <c r="BN22" s="490">
        <f t="shared" si="32"/>
        <v>0</v>
      </c>
      <c r="BO22" s="490">
        <f t="shared" si="33"/>
        <v>0</v>
      </c>
      <c r="BP22" s="513">
        <f t="shared" si="93"/>
        <v>0</v>
      </c>
      <c r="BQ22" s="493">
        <f t="shared" si="34"/>
        <v>0</v>
      </c>
      <c r="BR22" s="458" t="e">
        <f t="shared" si="35"/>
        <v>#DIV/0!</v>
      </c>
      <c r="BS22" s="512">
        <f t="shared" ref="BS22:BS85" si="106">IF($Q22="device",0,BI22)</f>
        <v>0</v>
      </c>
      <c r="BT22" s="513">
        <f t="shared" ref="BT22:BT85" si="107">IF($Q22="device",0,BJ22)</f>
        <v>0</v>
      </c>
      <c r="BU22" s="513">
        <f t="shared" ref="BU22:BU85" si="108">IF($Q22="device",0,BK22)</f>
        <v>0</v>
      </c>
      <c r="BV22" s="491">
        <f t="shared" ref="BV22:BV85" si="109">IF($Q22="device",0,BL22)</f>
        <v>0</v>
      </c>
      <c r="BW22" s="489">
        <f t="shared" si="37"/>
        <v>0</v>
      </c>
      <c r="BX22" s="490">
        <f t="shared" si="38"/>
        <v>0</v>
      </c>
      <c r="BY22" s="513">
        <f t="shared" si="97"/>
        <v>0</v>
      </c>
      <c r="BZ22" s="490">
        <f t="shared" si="98"/>
        <v>0</v>
      </c>
      <c r="CA22" s="493">
        <f t="shared" si="39"/>
        <v>0</v>
      </c>
      <c r="CB22" s="494" t="e">
        <f t="shared" si="40"/>
        <v>#DIV/0!</v>
      </c>
      <c r="CC22" s="489" t="e">
        <f t="shared" si="41"/>
        <v>#DIV/0!</v>
      </c>
      <c r="CD22" s="490">
        <f t="shared" si="42"/>
        <v>0</v>
      </c>
      <c r="CE22" s="495">
        <f t="shared" si="99"/>
        <v>0</v>
      </c>
      <c r="CF22" s="495">
        <f t="shared" si="43"/>
        <v>0</v>
      </c>
      <c r="CG22" s="496" t="e">
        <f t="shared" si="44"/>
        <v>#DIV/0!</v>
      </c>
      <c r="CH22" s="496" t="e">
        <f t="shared" si="45"/>
        <v>#DIV/0!</v>
      </c>
      <c r="CI22" s="497" t="e">
        <f t="shared" si="100"/>
        <v>#DIV/0!</v>
      </c>
      <c r="CJ22" s="498" t="e">
        <f t="shared" si="46"/>
        <v>#DIV/0!</v>
      </c>
      <c r="CK22" s="382" t="e">
        <f t="shared" si="101"/>
        <v>#DIV/0!</v>
      </c>
      <c r="CL22" s="382" t="str">
        <f t="shared" si="47"/>
        <v/>
      </c>
      <c r="CM22" s="499" t="e">
        <f t="shared" si="102"/>
        <v>#DIV/0!</v>
      </c>
      <c r="CN22" s="500" t="e">
        <f t="shared" si="103"/>
        <v>#DIV/0!</v>
      </c>
      <c r="CO22" s="500">
        <f t="shared" si="104"/>
        <v>0</v>
      </c>
      <c r="CP22" s="382">
        <f t="shared" si="48"/>
        <v>1</v>
      </c>
      <c r="CQ22" s="382">
        <f t="shared" si="49"/>
        <v>1</v>
      </c>
      <c r="CR22" s="382" t="str">
        <f t="shared" si="50"/>
        <v/>
      </c>
      <c r="CS22" s="382">
        <f t="shared" si="51"/>
        <v>0</v>
      </c>
      <c r="CT22" s="501">
        <f t="shared" si="52"/>
        <v>0</v>
      </c>
      <c r="CU22" s="382" t="str">
        <f t="shared" si="53"/>
        <v>OK</v>
      </c>
      <c r="CV22" s="425">
        <f t="shared" si="54"/>
        <v>0.05</v>
      </c>
      <c r="CW22" s="501" t="e">
        <f t="shared" si="55"/>
        <v>#DIV/0!</v>
      </c>
      <c r="CX22" s="501" t="e">
        <f t="shared" si="56"/>
        <v>#DIV/0!</v>
      </c>
      <c r="CY22" s="501" t="e">
        <f t="shared" si="57"/>
        <v>#DIV/0!</v>
      </c>
      <c r="CZ22" s="501" t="e">
        <f t="shared" si="58"/>
        <v>#DIV/0!</v>
      </c>
      <c r="DA22" s="501">
        <f t="shared" si="59"/>
        <v>1</v>
      </c>
      <c r="DB22" s="501">
        <f t="shared" si="60"/>
        <v>0</v>
      </c>
      <c r="DC22" s="382" t="str">
        <f t="shared" si="61"/>
        <v>Soft</v>
      </c>
      <c r="DD22" s="382"/>
      <c r="DE22" s="382">
        <f t="shared" si="62"/>
        <v>0</v>
      </c>
      <c r="DF22" s="501" t="e">
        <f t="shared" si="63"/>
        <v>#DIV/0!</v>
      </c>
      <c r="DG22" s="501" t="e">
        <f t="shared" si="64"/>
        <v>#DIV/0!</v>
      </c>
      <c r="DH22" s="501" t="e">
        <f t="shared" si="65"/>
        <v>#DIV/0!</v>
      </c>
      <c r="DI22" s="501" t="e">
        <f t="shared" si="66"/>
        <v>#DIV/0!</v>
      </c>
      <c r="DJ22" s="501" t="e">
        <f t="shared" si="105"/>
        <v>#DIV/0!</v>
      </c>
      <c r="DK22" s="382"/>
      <c r="DL22" s="382"/>
      <c r="DM22" s="382"/>
      <c r="DN22" s="382">
        <f t="shared" si="67"/>
        <v>1</v>
      </c>
      <c r="DO22" s="501" t="e">
        <f t="shared" si="68"/>
        <v>#DIV/0!</v>
      </c>
      <c r="DP22" s="501" t="e">
        <f t="shared" si="69"/>
        <v>#DIV/0!</v>
      </c>
      <c r="DQ22" s="501" t="e">
        <f t="shared" si="70"/>
        <v>#DIV/0!</v>
      </c>
      <c r="DR22" s="501" t="e">
        <f t="shared" si="71"/>
        <v>#DIV/0!</v>
      </c>
      <c r="DS22" s="501" t="e">
        <f t="shared" si="72"/>
        <v>#DIV/0!</v>
      </c>
      <c r="DT22" s="501" t="e">
        <f t="shared" si="73"/>
        <v>#DIV/0!</v>
      </c>
      <c r="DU22" s="501">
        <f t="shared" si="74"/>
        <v>0</v>
      </c>
      <c r="DV22" s="382"/>
      <c r="DW22" s="382" t="b">
        <f t="shared" si="75"/>
        <v>1</v>
      </c>
      <c r="DX22" s="382" t="b">
        <f t="shared" si="76"/>
        <v>1</v>
      </c>
      <c r="DY22" s="382" t="b">
        <f t="shared" si="77"/>
        <v>1</v>
      </c>
      <c r="DZ22" s="382" t="b">
        <f t="shared" si="78"/>
        <v>1</v>
      </c>
      <c r="EA22" s="382" t="b">
        <f t="shared" si="79"/>
        <v>1</v>
      </c>
    </row>
    <row r="23" spans="1:131" ht="18.5" thickBot="1" x14ac:dyDescent="0.45">
      <c r="A23" s="109"/>
      <c r="B23" s="725">
        <f t="shared" si="80"/>
        <v>20</v>
      </c>
      <c r="C23" s="118">
        <v>4</v>
      </c>
      <c r="D23" s="792"/>
      <c r="E23" s="793"/>
      <c r="F23" s="555"/>
      <c r="G23" s="556"/>
      <c r="H23" s="557"/>
      <c r="I23" s="558"/>
      <c r="J23" s="559"/>
      <c r="K23" s="560"/>
      <c r="L23" s="560"/>
      <c r="M23" s="560"/>
      <c r="N23" s="561"/>
      <c r="O23" s="727"/>
      <c r="P23" s="728"/>
      <c r="Q23" s="729"/>
      <c r="R23" s="565"/>
      <c r="S23" s="112" t="str">
        <f t="shared" si="2"/>
        <v/>
      </c>
      <c r="T23" s="113" t="str">
        <f t="shared" si="3"/>
        <v/>
      </c>
      <c r="U23" s="114">
        <f t="shared" si="4"/>
        <v>0</v>
      </c>
      <c r="V23" s="117" t="str">
        <f t="shared" si="5"/>
        <v/>
      </c>
      <c r="W23" s="234" t="str">
        <f t="shared" si="6"/>
        <v/>
      </c>
      <c r="X23" s="115">
        <f t="shared" si="7"/>
        <v>0</v>
      </c>
      <c r="Y23" s="116" t="str">
        <f t="shared" si="8"/>
        <v/>
      </c>
      <c r="Z23" s="111"/>
      <c r="AA23" s="382"/>
      <c r="AB23" s="382">
        <v>4</v>
      </c>
      <c r="AC23" s="456">
        <f t="shared" si="9"/>
        <v>20</v>
      </c>
      <c r="AD23" s="456">
        <f t="shared" si="81"/>
        <v>0</v>
      </c>
      <c r="AE23" s="456">
        <f t="shared" si="82"/>
        <v>0</v>
      </c>
      <c r="AF23" s="456"/>
      <c r="AG23" s="482">
        <f t="shared" si="83"/>
        <v>0</v>
      </c>
      <c r="AH23" s="508">
        <f t="shared" si="10"/>
        <v>0</v>
      </c>
      <c r="AI23" s="509">
        <f>IF(SUM(AH23:AH$99)=0,0,F23&gt;0)</f>
        <v>0</v>
      </c>
      <c r="AJ23" s="508">
        <f t="shared" si="11"/>
        <v>0</v>
      </c>
      <c r="AK23" s="509">
        <f>IF(SUM(AH23:AH$99)=0,0,AND(AI23=FALSE,AJ23=0,SUM(AJ23:AJ$99)&gt;0))</f>
        <v>0</v>
      </c>
      <c r="AL23" s="509">
        <f t="shared" si="84"/>
        <v>0</v>
      </c>
      <c r="AM23" s="509">
        <f t="shared" si="13"/>
        <v>0</v>
      </c>
      <c r="AN23" s="510">
        <f t="shared" si="14"/>
        <v>0</v>
      </c>
      <c r="AO23" s="510">
        <f t="shared" si="15"/>
        <v>0</v>
      </c>
      <c r="AP23" s="486">
        <f t="shared" si="16"/>
        <v>0</v>
      </c>
      <c r="AQ23" s="486">
        <f t="shared" si="85"/>
        <v>0</v>
      </c>
      <c r="AR23" s="509">
        <f t="shared" si="17"/>
        <v>0</v>
      </c>
      <c r="AS23" s="509" t="str">
        <f t="shared" si="86"/>
        <v/>
      </c>
      <c r="AT23" s="509">
        <f t="shared" si="18"/>
        <v>0</v>
      </c>
      <c r="AU23" s="485">
        <f t="shared" si="87"/>
        <v>0</v>
      </c>
      <c r="AV23" s="509">
        <f t="shared" si="19"/>
        <v>0</v>
      </c>
      <c r="AW23" s="509">
        <f t="shared" si="20"/>
        <v>0</v>
      </c>
      <c r="AX23" s="509">
        <f t="shared" si="21"/>
        <v>0</v>
      </c>
      <c r="AY23" s="484">
        <f t="shared" si="88"/>
        <v>0</v>
      </c>
      <c r="AZ23" s="509">
        <f t="shared" si="22"/>
        <v>0</v>
      </c>
      <c r="BA23" s="483">
        <f t="shared" si="89"/>
        <v>0</v>
      </c>
      <c r="BB23" s="487" t="str">
        <f t="shared" si="90"/>
        <v/>
      </c>
      <c r="BC23" s="487" t="str">
        <f t="shared" si="91"/>
        <v/>
      </c>
      <c r="BD23" s="509">
        <f t="shared" si="23"/>
        <v>0</v>
      </c>
      <c r="BE23" s="509">
        <f t="shared" si="24"/>
        <v>0</v>
      </c>
      <c r="BF23" s="509">
        <f t="shared" si="25"/>
        <v>0</v>
      </c>
      <c r="BG23" s="511" t="b">
        <f t="shared" si="26"/>
        <v>0</v>
      </c>
      <c r="BH23" s="488" t="str">
        <f t="shared" si="27"/>
        <v/>
      </c>
      <c r="BI23" s="512">
        <f t="shared" si="28"/>
        <v>0</v>
      </c>
      <c r="BJ23" s="513">
        <f t="shared" si="29"/>
        <v>0</v>
      </c>
      <c r="BK23" s="513">
        <f t="shared" si="92"/>
        <v>0</v>
      </c>
      <c r="BL23" s="515">
        <f t="shared" si="30"/>
        <v>0</v>
      </c>
      <c r="BM23" s="514">
        <f t="shared" si="31"/>
        <v>0</v>
      </c>
      <c r="BN23" s="490">
        <f t="shared" si="32"/>
        <v>0</v>
      </c>
      <c r="BO23" s="490">
        <f t="shared" si="33"/>
        <v>0</v>
      </c>
      <c r="BP23" s="513">
        <f t="shared" si="93"/>
        <v>0</v>
      </c>
      <c r="BQ23" s="493">
        <f t="shared" si="34"/>
        <v>0</v>
      </c>
      <c r="BR23" s="458" t="e">
        <f t="shared" si="35"/>
        <v>#DIV/0!</v>
      </c>
      <c r="BS23" s="512">
        <f t="shared" si="106"/>
        <v>0</v>
      </c>
      <c r="BT23" s="513">
        <f t="shared" si="107"/>
        <v>0</v>
      </c>
      <c r="BU23" s="513">
        <f t="shared" si="108"/>
        <v>0</v>
      </c>
      <c r="BV23" s="491">
        <f t="shared" si="109"/>
        <v>0</v>
      </c>
      <c r="BW23" s="489">
        <f t="shared" si="37"/>
        <v>0</v>
      </c>
      <c r="BX23" s="490">
        <f t="shared" si="38"/>
        <v>0</v>
      </c>
      <c r="BY23" s="513">
        <f t="shared" si="97"/>
        <v>0</v>
      </c>
      <c r="BZ23" s="490">
        <f t="shared" si="98"/>
        <v>0</v>
      </c>
      <c r="CA23" s="493">
        <f t="shared" si="39"/>
        <v>0</v>
      </c>
      <c r="CB23" s="494" t="e">
        <f t="shared" si="40"/>
        <v>#DIV/0!</v>
      </c>
      <c r="CC23" s="489" t="e">
        <f t="shared" si="41"/>
        <v>#DIV/0!</v>
      </c>
      <c r="CD23" s="490">
        <f t="shared" si="42"/>
        <v>0</v>
      </c>
      <c r="CE23" s="495">
        <f t="shared" si="99"/>
        <v>0</v>
      </c>
      <c r="CF23" s="495">
        <f t="shared" si="43"/>
        <v>0</v>
      </c>
      <c r="CG23" s="496" t="e">
        <f t="shared" si="44"/>
        <v>#DIV/0!</v>
      </c>
      <c r="CH23" s="496" t="e">
        <f t="shared" si="45"/>
        <v>#DIV/0!</v>
      </c>
      <c r="CI23" s="497" t="e">
        <f t="shared" si="100"/>
        <v>#DIV/0!</v>
      </c>
      <c r="CJ23" s="498" t="e">
        <f t="shared" si="46"/>
        <v>#DIV/0!</v>
      </c>
      <c r="CK23" s="382" t="e">
        <f t="shared" si="101"/>
        <v>#DIV/0!</v>
      </c>
      <c r="CL23" s="382" t="str">
        <f t="shared" si="47"/>
        <v/>
      </c>
      <c r="CM23" s="499" t="e">
        <f t="shared" si="102"/>
        <v>#DIV/0!</v>
      </c>
      <c r="CN23" s="500" t="e">
        <f t="shared" si="103"/>
        <v>#DIV/0!</v>
      </c>
      <c r="CO23" s="500">
        <f t="shared" si="104"/>
        <v>0</v>
      </c>
      <c r="CP23" s="382">
        <f t="shared" si="48"/>
        <v>1</v>
      </c>
      <c r="CQ23" s="382">
        <f t="shared" si="49"/>
        <v>1</v>
      </c>
      <c r="CR23" s="382" t="str">
        <f t="shared" si="50"/>
        <v/>
      </c>
      <c r="CS23" s="382">
        <f t="shared" si="51"/>
        <v>0</v>
      </c>
      <c r="CT23" s="501">
        <f t="shared" si="52"/>
        <v>0</v>
      </c>
      <c r="CU23" s="382" t="str">
        <f t="shared" si="53"/>
        <v>OK</v>
      </c>
      <c r="CV23" s="425">
        <f t="shared" si="54"/>
        <v>0.05</v>
      </c>
      <c r="CW23" s="501" t="e">
        <f t="shared" si="55"/>
        <v>#DIV/0!</v>
      </c>
      <c r="CX23" s="501" t="e">
        <f t="shared" si="56"/>
        <v>#DIV/0!</v>
      </c>
      <c r="CY23" s="501" t="e">
        <f t="shared" si="57"/>
        <v>#DIV/0!</v>
      </c>
      <c r="CZ23" s="501" t="e">
        <f t="shared" si="58"/>
        <v>#DIV/0!</v>
      </c>
      <c r="DA23" s="501">
        <f t="shared" si="59"/>
        <v>1</v>
      </c>
      <c r="DB23" s="501">
        <f t="shared" si="60"/>
        <v>0</v>
      </c>
      <c r="DC23" s="382" t="str">
        <f t="shared" si="61"/>
        <v>Soft</v>
      </c>
      <c r="DD23" s="382"/>
      <c r="DE23" s="382">
        <f t="shared" si="62"/>
        <v>0</v>
      </c>
      <c r="DF23" s="501" t="e">
        <f t="shared" si="63"/>
        <v>#DIV/0!</v>
      </c>
      <c r="DG23" s="501" t="e">
        <f t="shared" si="64"/>
        <v>#DIV/0!</v>
      </c>
      <c r="DH23" s="501" t="e">
        <f t="shared" si="65"/>
        <v>#DIV/0!</v>
      </c>
      <c r="DI23" s="501" t="e">
        <f t="shared" si="66"/>
        <v>#DIV/0!</v>
      </c>
      <c r="DJ23" s="501" t="e">
        <f t="shared" si="105"/>
        <v>#DIV/0!</v>
      </c>
      <c r="DK23" s="382"/>
      <c r="DL23" s="382"/>
      <c r="DM23" s="382"/>
      <c r="DN23" s="382">
        <f t="shared" si="67"/>
        <v>1</v>
      </c>
      <c r="DO23" s="501" t="e">
        <f t="shared" si="68"/>
        <v>#DIV/0!</v>
      </c>
      <c r="DP23" s="501" t="e">
        <f t="shared" si="69"/>
        <v>#DIV/0!</v>
      </c>
      <c r="DQ23" s="501" t="e">
        <f t="shared" si="70"/>
        <v>#DIV/0!</v>
      </c>
      <c r="DR23" s="501" t="e">
        <f t="shared" si="71"/>
        <v>#DIV/0!</v>
      </c>
      <c r="DS23" s="501" t="e">
        <f t="shared" si="72"/>
        <v>#DIV/0!</v>
      </c>
      <c r="DT23" s="501" t="e">
        <f t="shared" si="73"/>
        <v>#DIV/0!</v>
      </c>
      <c r="DU23" s="501">
        <f t="shared" si="74"/>
        <v>0</v>
      </c>
      <c r="DV23" s="382"/>
      <c r="DW23" s="382" t="b">
        <f t="shared" si="75"/>
        <v>1</v>
      </c>
      <c r="DX23" s="382" t="b">
        <f t="shared" si="76"/>
        <v>1</v>
      </c>
      <c r="DY23" s="382" t="b">
        <f t="shared" si="77"/>
        <v>1</v>
      </c>
      <c r="DZ23" s="382" t="b">
        <f t="shared" si="78"/>
        <v>1</v>
      </c>
      <c r="EA23" s="382" t="b">
        <f t="shared" si="79"/>
        <v>1</v>
      </c>
    </row>
    <row r="24" spans="1:131" ht="18.5" thickBot="1" x14ac:dyDescent="0.45">
      <c r="A24" s="109"/>
      <c r="B24" s="725">
        <f t="shared" si="80"/>
        <v>20</v>
      </c>
      <c r="C24" s="118">
        <v>5</v>
      </c>
      <c r="D24" s="792"/>
      <c r="E24" s="793"/>
      <c r="F24" s="555"/>
      <c r="G24" s="556"/>
      <c r="H24" s="557"/>
      <c r="I24" s="558"/>
      <c r="J24" s="559"/>
      <c r="K24" s="560"/>
      <c r="L24" s="560"/>
      <c r="M24" s="560"/>
      <c r="N24" s="561"/>
      <c r="O24" s="727"/>
      <c r="P24" s="728"/>
      <c r="Q24" s="729"/>
      <c r="R24" s="565"/>
      <c r="S24" s="112" t="str">
        <f t="shared" si="2"/>
        <v/>
      </c>
      <c r="T24" s="113" t="str">
        <f t="shared" si="3"/>
        <v/>
      </c>
      <c r="U24" s="114">
        <f t="shared" si="4"/>
        <v>0</v>
      </c>
      <c r="V24" s="117" t="str">
        <f t="shared" si="5"/>
        <v/>
      </c>
      <c r="W24" s="234" t="str">
        <f t="shared" si="6"/>
        <v/>
      </c>
      <c r="X24" s="115">
        <f t="shared" si="7"/>
        <v>0</v>
      </c>
      <c r="Y24" s="116" t="str">
        <f t="shared" si="8"/>
        <v/>
      </c>
      <c r="Z24" s="111"/>
      <c r="AA24" s="382"/>
      <c r="AB24" s="382">
        <v>5</v>
      </c>
      <c r="AC24" s="456">
        <f t="shared" si="9"/>
        <v>20</v>
      </c>
      <c r="AD24" s="456">
        <f t="shared" si="81"/>
        <v>0</v>
      </c>
      <c r="AE24" s="456">
        <f t="shared" si="82"/>
        <v>0</v>
      </c>
      <c r="AF24" s="456"/>
      <c r="AG24" s="482">
        <f t="shared" si="83"/>
        <v>0</v>
      </c>
      <c r="AH24" s="508">
        <f t="shared" si="10"/>
        <v>0</v>
      </c>
      <c r="AI24" s="509">
        <f>IF(SUM(AH24:AH$99)=0,0,F24&gt;0)</f>
        <v>0</v>
      </c>
      <c r="AJ24" s="508">
        <f t="shared" si="11"/>
        <v>0</v>
      </c>
      <c r="AK24" s="509">
        <f>IF(SUM(AH24:AH$99)=0,0,AND(AI24=FALSE,AJ24=0,SUM(AJ24:AJ$99)&gt;0))</f>
        <v>0</v>
      </c>
      <c r="AL24" s="509">
        <f t="shared" si="84"/>
        <v>0</v>
      </c>
      <c r="AM24" s="509">
        <f t="shared" si="13"/>
        <v>0</v>
      </c>
      <c r="AN24" s="510">
        <f t="shared" si="14"/>
        <v>0</v>
      </c>
      <c r="AO24" s="510">
        <f t="shared" si="15"/>
        <v>0</v>
      </c>
      <c r="AP24" s="486">
        <f t="shared" si="16"/>
        <v>0</v>
      </c>
      <c r="AQ24" s="486">
        <f t="shared" si="85"/>
        <v>0</v>
      </c>
      <c r="AR24" s="509">
        <f t="shared" si="17"/>
        <v>0</v>
      </c>
      <c r="AS24" s="509" t="str">
        <f t="shared" si="86"/>
        <v/>
      </c>
      <c r="AT24" s="509">
        <f t="shared" si="18"/>
        <v>0</v>
      </c>
      <c r="AU24" s="485">
        <f t="shared" si="87"/>
        <v>0</v>
      </c>
      <c r="AV24" s="509">
        <f t="shared" si="19"/>
        <v>0</v>
      </c>
      <c r="AW24" s="509">
        <f t="shared" si="20"/>
        <v>0</v>
      </c>
      <c r="AX24" s="509">
        <f t="shared" si="21"/>
        <v>0</v>
      </c>
      <c r="AY24" s="484">
        <f t="shared" si="88"/>
        <v>0</v>
      </c>
      <c r="AZ24" s="509">
        <f t="shared" si="22"/>
        <v>0</v>
      </c>
      <c r="BA24" s="483">
        <f t="shared" si="89"/>
        <v>0</v>
      </c>
      <c r="BB24" s="487" t="str">
        <f t="shared" si="90"/>
        <v/>
      </c>
      <c r="BC24" s="487" t="str">
        <f t="shared" si="91"/>
        <v/>
      </c>
      <c r="BD24" s="509">
        <f t="shared" si="23"/>
        <v>0</v>
      </c>
      <c r="BE24" s="509">
        <f t="shared" si="24"/>
        <v>0</v>
      </c>
      <c r="BF24" s="509">
        <f t="shared" si="25"/>
        <v>0</v>
      </c>
      <c r="BG24" s="511" t="b">
        <f t="shared" si="26"/>
        <v>0</v>
      </c>
      <c r="BH24" s="488" t="str">
        <f t="shared" si="27"/>
        <v/>
      </c>
      <c r="BI24" s="512">
        <f t="shared" si="28"/>
        <v>0</v>
      </c>
      <c r="BJ24" s="513">
        <f t="shared" si="29"/>
        <v>0</v>
      </c>
      <c r="BK24" s="513">
        <f t="shared" si="92"/>
        <v>0</v>
      </c>
      <c r="BL24" s="515">
        <f t="shared" si="30"/>
        <v>0</v>
      </c>
      <c r="BM24" s="514">
        <f t="shared" si="31"/>
        <v>0</v>
      </c>
      <c r="BN24" s="490">
        <f t="shared" si="32"/>
        <v>0</v>
      </c>
      <c r="BO24" s="490">
        <f t="shared" si="33"/>
        <v>0</v>
      </c>
      <c r="BP24" s="513">
        <f t="shared" si="93"/>
        <v>0</v>
      </c>
      <c r="BQ24" s="493">
        <f t="shared" si="34"/>
        <v>0</v>
      </c>
      <c r="BR24" s="458" t="e">
        <f t="shared" si="35"/>
        <v>#DIV/0!</v>
      </c>
      <c r="BS24" s="512">
        <f t="shared" si="106"/>
        <v>0</v>
      </c>
      <c r="BT24" s="513">
        <f t="shared" si="107"/>
        <v>0</v>
      </c>
      <c r="BU24" s="513">
        <f t="shared" si="108"/>
        <v>0</v>
      </c>
      <c r="BV24" s="491">
        <f t="shared" si="109"/>
        <v>0</v>
      </c>
      <c r="BW24" s="489">
        <f t="shared" si="37"/>
        <v>0</v>
      </c>
      <c r="BX24" s="490">
        <f t="shared" si="38"/>
        <v>0</v>
      </c>
      <c r="BY24" s="513">
        <f t="shared" si="97"/>
        <v>0</v>
      </c>
      <c r="BZ24" s="490">
        <f t="shared" si="98"/>
        <v>0</v>
      </c>
      <c r="CA24" s="493">
        <f t="shared" si="39"/>
        <v>0</v>
      </c>
      <c r="CB24" s="494" t="e">
        <f t="shared" si="40"/>
        <v>#DIV/0!</v>
      </c>
      <c r="CC24" s="489" t="e">
        <f t="shared" si="41"/>
        <v>#DIV/0!</v>
      </c>
      <c r="CD24" s="490">
        <f t="shared" si="42"/>
        <v>0</v>
      </c>
      <c r="CE24" s="495">
        <f t="shared" si="99"/>
        <v>0</v>
      </c>
      <c r="CF24" s="495">
        <f t="shared" si="43"/>
        <v>0</v>
      </c>
      <c r="CG24" s="496" t="e">
        <f t="shared" si="44"/>
        <v>#DIV/0!</v>
      </c>
      <c r="CH24" s="496" t="e">
        <f t="shared" si="45"/>
        <v>#DIV/0!</v>
      </c>
      <c r="CI24" s="497" t="e">
        <f t="shared" si="100"/>
        <v>#DIV/0!</v>
      </c>
      <c r="CJ24" s="498" t="e">
        <f t="shared" si="46"/>
        <v>#DIV/0!</v>
      </c>
      <c r="CK24" s="382" t="e">
        <f t="shared" si="101"/>
        <v>#DIV/0!</v>
      </c>
      <c r="CL24" s="382" t="str">
        <f t="shared" si="47"/>
        <v/>
      </c>
      <c r="CM24" s="499" t="e">
        <f t="shared" si="102"/>
        <v>#DIV/0!</v>
      </c>
      <c r="CN24" s="500" t="e">
        <f t="shared" si="103"/>
        <v>#DIV/0!</v>
      </c>
      <c r="CO24" s="500">
        <f t="shared" si="104"/>
        <v>0</v>
      </c>
      <c r="CP24" s="382">
        <f t="shared" si="48"/>
        <v>1</v>
      </c>
      <c r="CQ24" s="382">
        <f t="shared" si="49"/>
        <v>1</v>
      </c>
      <c r="CR24" s="382" t="str">
        <f t="shared" si="50"/>
        <v/>
      </c>
      <c r="CS24" s="382">
        <f t="shared" si="51"/>
        <v>0</v>
      </c>
      <c r="CT24" s="501">
        <f t="shared" si="52"/>
        <v>0</v>
      </c>
      <c r="CU24" s="382" t="str">
        <f t="shared" si="53"/>
        <v>OK</v>
      </c>
      <c r="CV24" s="425">
        <f t="shared" si="54"/>
        <v>0.05</v>
      </c>
      <c r="CW24" s="501" t="e">
        <f t="shared" si="55"/>
        <v>#DIV/0!</v>
      </c>
      <c r="CX24" s="501" t="e">
        <f t="shared" si="56"/>
        <v>#DIV/0!</v>
      </c>
      <c r="CY24" s="501" t="e">
        <f t="shared" si="57"/>
        <v>#DIV/0!</v>
      </c>
      <c r="CZ24" s="501" t="e">
        <f t="shared" si="58"/>
        <v>#DIV/0!</v>
      </c>
      <c r="DA24" s="501">
        <f t="shared" si="59"/>
        <v>1</v>
      </c>
      <c r="DB24" s="501">
        <f t="shared" si="60"/>
        <v>0</v>
      </c>
      <c r="DC24" s="382" t="str">
        <f t="shared" si="61"/>
        <v>Soft</v>
      </c>
      <c r="DD24" s="382"/>
      <c r="DE24" s="382">
        <f t="shared" si="62"/>
        <v>0</v>
      </c>
      <c r="DF24" s="501" t="e">
        <f t="shared" si="63"/>
        <v>#DIV/0!</v>
      </c>
      <c r="DG24" s="501" t="e">
        <f t="shared" si="64"/>
        <v>#DIV/0!</v>
      </c>
      <c r="DH24" s="501" t="e">
        <f t="shared" si="65"/>
        <v>#DIV/0!</v>
      </c>
      <c r="DI24" s="501" t="e">
        <f t="shared" si="66"/>
        <v>#DIV/0!</v>
      </c>
      <c r="DJ24" s="501" t="e">
        <f t="shared" si="105"/>
        <v>#DIV/0!</v>
      </c>
      <c r="DK24" s="382"/>
      <c r="DL24" s="382"/>
      <c r="DM24" s="382"/>
      <c r="DN24" s="382">
        <f t="shared" si="67"/>
        <v>1</v>
      </c>
      <c r="DO24" s="501" t="e">
        <f t="shared" si="68"/>
        <v>#DIV/0!</v>
      </c>
      <c r="DP24" s="501" t="e">
        <f t="shared" si="69"/>
        <v>#DIV/0!</v>
      </c>
      <c r="DQ24" s="501" t="e">
        <f t="shared" si="70"/>
        <v>#DIV/0!</v>
      </c>
      <c r="DR24" s="501" t="e">
        <f t="shared" si="71"/>
        <v>#DIV/0!</v>
      </c>
      <c r="DS24" s="501" t="e">
        <f t="shared" si="72"/>
        <v>#DIV/0!</v>
      </c>
      <c r="DT24" s="501" t="e">
        <f t="shared" si="73"/>
        <v>#DIV/0!</v>
      </c>
      <c r="DU24" s="501">
        <f t="shared" si="74"/>
        <v>0</v>
      </c>
      <c r="DV24" s="382"/>
      <c r="DW24" s="382" t="b">
        <f t="shared" si="75"/>
        <v>1</v>
      </c>
      <c r="DX24" s="382" t="b">
        <f t="shared" si="76"/>
        <v>1</v>
      </c>
      <c r="DY24" s="382" t="b">
        <f t="shared" si="77"/>
        <v>1</v>
      </c>
      <c r="DZ24" s="382" t="b">
        <f t="shared" si="78"/>
        <v>1</v>
      </c>
      <c r="EA24" s="382" t="b">
        <f t="shared" si="79"/>
        <v>1</v>
      </c>
    </row>
    <row r="25" spans="1:131" s="517" customFormat="1" ht="18.649999999999999" customHeight="1" thickBot="1" x14ac:dyDescent="0.45">
      <c r="A25" s="391"/>
      <c r="B25" s="479">
        <f t="shared" si="80"/>
        <v>20</v>
      </c>
      <c r="C25" s="502">
        <v>6</v>
      </c>
      <c r="D25" s="792"/>
      <c r="E25" s="793"/>
      <c r="F25" s="544"/>
      <c r="G25" s="545"/>
      <c r="H25" s="546"/>
      <c r="I25" s="550"/>
      <c r="J25" s="551"/>
      <c r="K25" s="552"/>
      <c r="L25" s="552"/>
      <c r="M25" s="552"/>
      <c r="N25" s="553"/>
      <c r="O25" s="547"/>
      <c r="P25" s="548"/>
      <c r="Q25" s="549"/>
      <c r="R25" s="554"/>
      <c r="S25" s="503" t="str">
        <f t="shared" si="2"/>
        <v/>
      </c>
      <c r="T25" s="504" t="str">
        <f t="shared" si="3"/>
        <v/>
      </c>
      <c r="U25" s="505">
        <f t="shared" si="4"/>
        <v>0</v>
      </c>
      <c r="V25" s="480" t="str">
        <f t="shared" si="5"/>
        <v/>
      </c>
      <c r="W25" s="481" t="str">
        <f t="shared" si="6"/>
        <v/>
      </c>
      <c r="X25" s="506">
        <f t="shared" si="7"/>
        <v>0</v>
      </c>
      <c r="Y25" s="507" t="str">
        <f t="shared" si="8"/>
        <v/>
      </c>
      <c r="Z25" s="392"/>
      <c r="AA25" s="382"/>
      <c r="AB25" s="382">
        <v>6</v>
      </c>
      <c r="AC25" s="456">
        <f t="shared" si="9"/>
        <v>20</v>
      </c>
      <c r="AD25" s="456">
        <f t="shared" si="81"/>
        <v>0</v>
      </c>
      <c r="AE25" s="456">
        <f t="shared" si="82"/>
        <v>0</v>
      </c>
      <c r="AF25" s="456"/>
      <c r="AG25" s="482">
        <f t="shared" si="83"/>
        <v>0</v>
      </c>
      <c r="AH25" s="508">
        <f t="shared" si="10"/>
        <v>0</v>
      </c>
      <c r="AI25" s="509">
        <f>IF(SUM(AH25:AH$99)=0,0,F25&gt;0)</f>
        <v>0</v>
      </c>
      <c r="AJ25" s="508">
        <f t="shared" si="11"/>
        <v>0</v>
      </c>
      <c r="AK25" s="509">
        <f>IF(SUM(AH25:AH$99)=0,0,AND(AI25=FALSE,AJ25=0,SUM(AJ25:AJ$99)&gt;0))</f>
        <v>0</v>
      </c>
      <c r="AL25" s="509">
        <f t="shared" si="84"/>
        <v>0</v>
      </c>
      <c r="AM25" s="509">
        <f t="shared" si="13"/>
        <v>0</v>
      </c>
      <c r="AN25" s="510">
        <f t="shared" si="14"/>
        <v>0</v>
      </c>
      <c r="AO25" s="510">
        <f t="shared" si="15"/>
        <v>0</v>
      </c>
      <c r="AP25" s="486">
        <f t="shared" si="16"/>
        <v>0</v>
      </c>
      <c r="AQ25" s="486">
        <f t="shared" si="85"/>
        <v>0</v>
      </c>
      <c r="AR25" s="509">
        <f t="shared" si="17"/>
        <v>0</v>
      </c>
      <c r="AS25" s="509" t="str">
        <f t="shared" si="86"/>
        <v/>
      </c>
      <c r="AT25" s="509">
        <f t="shared" si="18"/>
        <v>0</v>
      </c>
      <c r="AU25" s="485">
        <f t="shared" si="87"/>
        <v>0</v>
      </c>
      <c r="AV25" s="509">
        <f t="shared" si="19"/>
        <v>0</v>
      </c>
      <c r="AW25" s="509">
        <f t="shared" si="20"/>
        <v>0</v>
      </c>
      <c r="AX25" s="509">
        <f t="shared" si="21"/>
        <v>0</v>
      </c>
      <c r="AY25" s="484">
        <f t="shared" si="88"/>
        <v>0</v>
      </c>
      <c r="AZ25" s="509">
        <f t="shared" si="22"/>
        <v>0</v>
      </c>
      <c r="BA25" s="483">
        <f t="shared" si="89"/>
        <v>0</v>
      </c>
      <c r="BB25" s="487" t="str">
        <f t="shared" si="90"/>
        <v/>
      </c>
      <c r="BC25" s="487" t="str">
        <f t="shared" si="91"/>
        <v/>
      </c>
      <c r="BD25" s="509">
        <f t="shared" si="23"/>
        <v>0</v>
      </c>
      <c r="BE25" s="509">
        <f t="shared" si="24"/>
        <v>0</v>
      </c>
      <c r="BF25" s="509">
        <f t="shared" si="25"/>
        <v>0</v>
      </c>
      <c r="BG25" s="511" t="b">
        <f t="shared" si="26"/>
        <v>0</v>
      </c>
      <c r="BH25" s="488" t="str">
        <f t="shared" si="27"/>
        <v/>
      </c>
      <c r="BI25" s="512">
        <f t="shared" si="28"/>
        <v>0</v>
      </c>
      <c r="BJ25" s="513">
        <f t="shared" si="29"/>
        <v>0</v>
      </c>
      <c r="BK25" s="513">
        <f t="shared" si="92"/>
        <v>0</v>
      </c>
      <c r="BL25" s="515">
        <f t="shared" si="30"/>
        <v>0</v>
      </c>
      <c r="BM25" s="514">
        <f t="shared" si="31"/>
        <v>0</v>
      </c>
      <c r="BN25" s="490">
        <f t="shared" si="32"/>
        <v>0</v>
      </c>
      <c r="BO25" s="490">
        <f t="shared" si="33"/>
        <v>0</v>
      </c>
      <c r="BP25" s="513">
        <f t="shared" si="93"/>
        <v>0</v>
      </c>
      <c r="BQ25" s="493">
        <f t="shared" si="34"/>
        <v>0</v>
      </c>
      <c r="BR25" s="458" t="e">
        <f t="shared" si="35"/>
        <v>#DIV/0!</v>
      </c>
      <c r="BS25" s="512">
        <f t="shared" si="106"/>
        <v>0</v>
      </c>
      <c r="BT25" s="513">
        <f t="shared" si="107"/>
        <v>0</v>
      </c>
      <c r="BU25" s="513">
        <f t="shared" si="108"/>
        <v>0</v>
      </c>
      <c r="BV25" s="491">
        <f t="shared" si="109"/>
        <v>0</v>
      </c>
      <c r="BW25" s="489">
        <f t="shared" si="37"/>
        <v>0</v>
      </c>
      <c r="BX25" s="490">
        <f t="shared" si="38"/>
        <v>0</v>
      </c>
      <c r="BY25" s="513">
        <f t="shared" si="97"/>
        <v>0</v>
      </c>
      <c r="BZ25" s="490">
        <f t="shared" si="98"/>
        <v>0</v>
      </c>
      <c r="CA25" s="493">
        <f t="shared" si="39"/>
        <v>0</v>
      </c>
      <c r="CB25" s="494" t="e">
        <f t="shared" si="40"/>
        <v>#DIV/0!</v>
      </c>
      <c r="CC25" s="489" t="e">
        <f t="shared" si="41"/>
        <v>#DIV/0!</v>
      </c>
      <c r="CD25" s="490">
        <f t="shared" si="42"/>
        <v>0</v>
      </c>
      <c r="CE25" s="495">
        <f t="shared" si="99"/>
        <v>0</v>
      </c>
      <c r="CF25" s="495">
        <f t="shared" si="43"/>
        <v>0</v>
      </c>
      <c r="CG25" s="496" t="e">
        <f t="shared" si="44"/>
        <v>#DIV/0!</v>
      </c>
      <c r="CH25" s="496" t="e">
        <f t="shared" si="45"/>
        <v>#DIV/0!</v>
      </c>
      <c r="CI25" s="497" t="e">
        <f t="shared" si="100"/>
        <v>#DIV/0!</v>
      </c>
      <c r="CJ25" s="498" t="e">
        <f t="shared" si="46"/>
        <v>#DIV/0!</v>
      </c>
      <c r="CK25" s="382" t="e">
        <f t="shared" si="101"/>
        <v>#DIV/0!</v>
      </c>
      <c r="CL25" s="382" t="str">
        <f t="shared" si="47"/>
        <v/>
      </c>
      <c r="CM25" s="499" t="e">
        <f t="shared" si="102"/>
        <v>#DIV/0!</v>
      </c>
      <c r="CN25" s="500" t="e">
        <f t="shared" si="103"/>
        <v>#DIV/0!</v>
      </c>
      <c r="CO25" s="500">
        <f t="shared" si="104"/>
        <v>0</v>
      </c>
      <c r="CP25" s="382">
        <f t="shared" si="48"/>
        <v>1</v>
      </c>
      <c r="CQ25" s="382">
        <f t="shared" si="49"/>
        <v>1</v>
      </c>
      <c r="CR25" s="382" t="str">
        <f t="shared" si="50"/>
        <v/>
      </c>
      <c r="CS25" s="382">
        <f t="shared" si="51"/>
        <v>0</v>
      </c>
      <c r="CT25" s="501">
        <f t="shared" si="52"/>
        <v>0</v>
      </c>
      <c r="CU25" s="382" t="str">
        <f t="shared" si="53"/>
        <v>OK</v>
      </c>
      <c r="CV25" s="425">
        <f t="shared" si="54"/>
        <v>0.05</v>
      </c>
      <c r="CW25" s="501" t="e">
        <f t="shared" si="55"/>
        <v>#DIV/0!</v>
      </c>
      <c r="CX25" s="501" t="e">
        <f t="shared" si="56"/>
        <v>#DIV/0!</v>
      </c>
      <c r="CY25" s="501" t="e">
        <f t="shared" si="57"/>
        <v>#DIV/0!</v>
      </c>
      <c r="CZ25" s="501" t="e">
        <f t="shared" si="58"/>
        <v>#DIV/0!</v>
      </c>
      <c r="DA25" s="501">
        <f t="shared" si="59"/>
        <v>1</v>
      </c>
      <c r="DB25" s="501">
        <f t="shared" si="60"/>
        <v>0</v>
      </c>
      <c r="DC25" s="382" t="str">
        <f t="shared" si="61"/>
        <v>Soft</v>
      </c>
      <c r="DD25" s="382"/>
      <c r="DE25" s="382">
        <f t="shared" si="62"/>
        <v>0</v>
      </c>
      <c r="DF25" s="501" t="e">
        <f t="shared" si="63"/>
        <v>#DIV/0!</v>
      </c>
      <c r="DG25" s="501" t="e">
        <f t="shared" si="64"/>
        <v>#DIV/0!</v>
      </c>
      <c r="DH25" s="501" t="e">
        <f t="shared" si="65"/>
        <v>#DIV/0!</v>
      </c>
      <c r="DI25" s="501" t="e">
        <f t="shared" si="66"/>
        <v>#DIV/0!</v>
      </c>
      <c r="DJ25" s="501" t="e">
        <f t="shared" si="105"/>
        <v>#DIV/0!</v>
      </c>
      <c r="DK25" s="382"/>
      <c r="DL25" s="382"/>
      <c r="DM25" s="382"/>
      <c r="DN25" s="382">
        <f t="shared" si="67"/>
        <v>1</v>
      </c>
      <c r="DO25" s="501" t="e">
        <f t="shared" si="68"/>
        <v>#DIV/0!</v>
      </c>
      <c r="DP25" s="501" t="e">
        <f t="shared" si="69"/>
        <v>#DIV/0!</v>
      </c>
      <c r="DQ25" s="501" t="e">
        <f t="shared" si="70"/>
        <v>#DIV/0!</v>
      </c>
      <c r="DR25" s="501" t="e">
        <f t="shared" si="71"/>
        <v>#DIV/0!</v>
      </c>
      <c r="DS25" s="501" t="e">
        <f t="shared" si="72"/>
        <v>#DIV/0!</v>
      </c>
      <c r="DT25" s="501" t="e">
        <f t="shared" si="73"/>
        <v>#DIV/0!</v>
      </c>
      <c r="DU25" s="501">
        <f t="shared" si="74"/>
        <v>0</v>
      </c>
      <c r="DV25" s="382"/>
      <c r="DW25" s="382" t="b">
        <f t="shared" si="75"/>
        <v>1</v>
      </c>
      <c r="DX25" s="382" t="b">
        <f t="shared" si="76"/>
        <v>1</v>
      </c>
      <c r="DY25" s="382" t="b">
        <f t="shared" si="77"/>
        <v>1</v>
      </c>
      <c r="DZ25" s="382" t="b">
        <f t="shared" si="78"/>
        <v>1</v>
      </c>
      <c r="EA25" s="382" t="b">
        <f t="shared" si="79"/>
        <v>1</v>
      </c>
    </row>
    <row r="26" spans="1:131" s="517" customFormat="1" ht="18.649999999999999" customHeight="1" thickBot="1" x14ac:dyDescent="0.45">
      <c r="A26" s="391"/>
      <c r="B26" s="479">
        <f t="shared" si="80"/>
        <v>20</v>
      </c>
      <c r="C26" s="502">
        <v>7</v>
      </c>
      <c r="D26" s="792"/>
      <c r="E26" s="793"/>
      <c r="F26" s="544"/>
      <c r="G26" s="545"/>
      <c r="H26" s="546"/>
      <c r="I26" s="550"/>
      <c r="J26" s="551"/>
      <c r="K26" s="552"/>
      <c r="L26" s="552"/>
      <c r="M26" s="552"/>
      <c r="N26" s="553"/>
      <c r="O26" s="547"/>
      <c r="P26" s="548"/>
      <c r="Q26" s="549"/>
      <c r="R26" s="554"/>
      <c r="S26" s="503" t="str">
        <f t="shared" si="2"/>
        <v/>
      </c>
      <c r="T26" s="504" t="str">
        <f t="shared" si="3"/>
        <v/>
      </c>
      <c r="U26" s="505">
        <f t="shared" si="4"/>
        <v>0</v>
      </c>
      <c r="V26" s="480" t="str">
        <f t="shared" si="5"/>
        <v/>
      </c>
      <c r="W26" s="481" t="str">
        <f t="shared" si="6"/>
        <v/>
      </c>
      <c r="X26" s="506">
        <f t="shared" si="7"/>
        <v>0</v>
      </c>
      <c r="Y26" s="507" t="str">
        <f t="shared" si="8"/>
        <v/>
      </c>
      <c r="Z26" s="392"/>
      <c r="AA26" s="382"/>
      <c r="AB26" s="382">
        <v>7</v>
      </c>
      <c r="AC26" s="456">
        <f t="shared" si="9"/>
        <v>20</v>
      </c>
      <c r="AD26" s="456">
        <f t="shared" si="81"/>
        <v>0</v>
      </c>
      <c r="AE26" s="456">
        <f t="shared" si="82"/>
        <v>0</v>
      </c>
      <c r="AF26" s="456"/>
      <c r="AG26" s="482">
        <f t="shared" si="83"/>
        <v>0</v>
      </c>
      <c r="AH26" s="508">
        <f t="shared" si="10"/>
        <v>0</v>
      </c>
      <c r="AI26" s="509">
        <f>IF(SUM(AH26:AH$99)=0,0,F26&gt;0)</f>
        <v>0</v>
      </c>
      <c r="AJ26" s="508">
        <f t="shared" si="11"/>
        <v>0</v>
      </c>
      <c r="AK26" s="509">
        <f>IF(SUM(AH26:AH$99)=0,0,AND(AI26=FALSE,AJ26=0,SUM(AJ26:AJ$99)&gt;0))</f>
        <v>0</v>
      </c>
      <c r="AL26" s="509">
        <f t="shared" si="84"/>
        <v>0</v>
      </c>
      <c r="AM26" s="509">
        <f t="shared" si="13"/>
        <v>0</v>
      </c>
      <c r="AN26" s="510">
        <f t="shared" si="14"/>
        <v>0</v>
      </c>
      <c r="AO26" s="510">
        <f t="shared" si="15"/>
        <v>0</v>
      </c>
      <c r="AP26" s="486">
        <f t="shared" si="16"/>
        <v>0</v>
      </c>
      <c r="AQ26" s="486">
        <f t="shared" si="85"/>
        <v>0</v>
      </c>
      <c r="AR26" s="509">
        <f t="shared" si="17"/>
        <v>0</v>
      </c>
      <c r="AS26" s="509" t="str">
        <f t="shared" si="86"/>
        <v/>
      </c>
      <c r="AT26" s="509">
        <f t="shared" si="18"/>
        <v>0</v>
      </c>
      <c r="AU26" s="485">
        <f t="shared" si="87"/>
        <v>0</v>
      </c>
      <c r="AV26" s="509">
        <f t="shared" si="19"/>
        <v>0</v>
      </c>
      <c r="AW26" s="509">
        <f t="shared" si="20"/>
        <v>0</v>
      </c>
      <c r="AX26" s="509">
        <f t="shared" si="21"/>
        <v>0</v>
      </c>
      <c r="AY26" s="484">
        <f t="shared" si="88"/>
        <v>0</v>
      </c>
      <c r="AZ26" s="509">
        <f t="shared" si="22"/>
        <v>0</v>
      </c>
      <c r="BA26" s="483">
        <f t="shared" si="89"/>
        <v>0</v>
      </c>
      <c r="BB26" s="487" t="str">
        <f t="shared" si="90"/>
        <v/>
      </c>
      <c r="BC26" s="487" t="str">
        <f t="shared" si="91"/>
        <v/>
      </c>
      <c r="BD26" s="509">
        <f t="shared" si="23"/>
        <v>0</v>
      </c>
      <c r="BE26" s="509">
        <f t="shared" si="24"/>
        <v>0</v>
      </c>
      <c r="BF26" s="509">
        <f t="shared" si="25"/>
        <v>0</v>
      </c>
      <c r="BG26" s="511" t="b">
        <f t="shared" si="26"/>
        <v>0</v>
      </c>
      <c r="BH26" s="488" t="str">
        <f t="shared" si="27"/>
        <v/>
      </c>
      <c r="BI26" s="512">
        <f t="shared" si="28"/>
        <v>0</v>
      </c>
      <c r="BJ26" s="513">
        <f t="shared" si="29"/>
        <v>0</v>
      </c>
      <c r="BK26" s="513">
        <f t="shared" si="92"/>
        <v>0</v>
      </c>
      <c r="BL26" s="515">
        <f t="shared" si="30"/>
        <v>0</v>
      </c>
      <c r="BM26" s="514">
        <f t="shared" si="31"/>
        <v>0</v>
      </c>
      <c r="BN26" s="490">
        <f t="shared" si="32"/>
        <v>0</v>
      </c>
      <c r="BO26" s="490">
        <f t="shared" si="33"/>
        <v>0</v>
      </c>
      <c r="BP26" s="513">
        <f t="shared" si="93"/>
        <v>0</v>
      </c>
      <c r="BQ26" s="493">
        <f t="shared" si="34"/>
        <v>0</v>
      </c>
      <c r="BR26" s="458" t="e">
        <f t="shared" si="35"/>
        <v>#DIV/0!</v>
      </c>
      <c r="BS26" s="512">
        <f t="shared" si="106"/>
        <v>0</v>
      </c>
      <c r="BT26" s="513">
        <f t="shared" si="107"/>
        <v>0</v>
      </c>
      <c r="BU26" s="513">
        <f t="shared" si="108"/>
        <v>0</v>
      </c>
      <c r="BV26" s="491">
        <f t="shared" si="109"/>
        <v>0</v>
      </c>
      <c r="BW26" s="489">
        <f t="shared" si="37"/>
        <v>0</v>
      </c>
      <c r="BX26" s="490">
        <f t="shared" si="38"/>
        <v>0</v>
      </c>
      <c r="BY26" s="513">
        <f t="shared" si="97"/>
        <v>0</v>
      </c>
      <c r="BZ26" s="490">
        <f t="shared" si="98"/>
        <v>0</v>
      </c>
      <c r="CA26" s="493">
        <f t="shared" si="39"/>
        <v>0</v>
      </c>
      <c r="CB26" s="494" t="e">
        <f t="shared" si="40"/>
        <v>#DIV/0!</v>
      </c>
      <c r="CC26" s="489" t="e">
        <f t="shared" si="41"/>
        <v>#DIV/0!</v>
      </c>
      <c r="CD26" s="490">
        <f t="shared" si="42"/>
        <v>0</v>
      </c>
      <c r="CE26" s="495">
        <f t="shared" si="99"/>
        <v>0</v>
      </c>
      <c r="CF26" s="495">
        <f t="shared" si="43"/>
        <v>0</v>
      </c>
      <c r="CG26" s="496" t="e">
        <f t="shared" si="44"/>
        <v>#DIV/0!</v>
      </c>
      <c r="CH26" s="496" t="e">
        <f t="shared" si="45"/>
        <v>#DIV/0!</v>
      </c>
      <c r="CI26" s="497" t="e">
        <f t="shared" si="100"/>
        <v>#DIV/0!</v>
      </c>
      <c r="CJ26" s="498" t="e">
        <f t="shared" si="46"/>
        <v>#DIV/0!</v>
      </c>
      <c r="CK26" s="382" t="e">
        <f t="shared" si="101"/>
        <v>#DIV/0!</v>
      </c>
      <c r="CL26" s="382" t="str">
        <f t="shared" si="47"/>
        <v/>
      </c>
      <c r="CM26" s="499" t="e">
        <f t="shared" si="102"/>
        <v>#DIV/0!</v>
      </c>
      <c r="CN26" s="500" t="e">
        <f t="shared" si="103"/>
        <v>#DIV/0!</v>
      </c>
      <c r="CO26" s="500">
        <f t="shared" si="104"/>
        <v>0</v>
      </c>
      <c r="CP26" s="382">
        <f t="shared" si="48"/>
        <v>1</v>
      </c>
      <c r="CQ26" s="382">
        <f t="shared" si="49"/>
        <v>1</v>
      </c>
      <c r="CR26" s="382" t="str">
        <f t="shared" si="50"/>
        <v/>
      </c>
      <c r="CS26" s="382">
        <f t="shared" si="51"/>
        <v>0</v>
      </c>
      <c r="CT26" s="501">
        <f t="shared" si="52"/>
        <v>0</v>
      </c>
      <c r="CU26" s="382" t="str">
        <f t="shared" si="53"/>
        <v>OK</v>
      </c>
      <c r="CV26" s="425">
        <f t="shared" si="54"/>
        <v>0.05</v>
      </c>
      <c r="CW26" s="501" t="e">
        <f t="shared" si="55"/>
        <v>#DIV/0!</v>
      </c>
      <c r="CX26" s="501" t="e">
        <f t="shared" si="56"/>
        <v>#DIV/0!</v>
      </c>
      <c r="CY26" s="501" t="e">
        <f t="shared" si="57"/>
        <v>#DIV/0!</v>
      </c>
      <c r="CZ26" s="501" t="e">
        <f t="shared" si="58"/>
        <v>#DIV/0!</v>
      </c>
      <c r="DA26" s="501">
        <f t="shared" si="59"/>
        <v>1</v>
      </c>
      <c r="DB26" s="501">
        <f t="shared" si="60"/>
        <v>0</v>
      </c>
      <c r="DC26" s="382" t="str">
        <f t="shared" si="61"/>
        <v>Soft</v>
      </c>
      <c r="DD26" s="382"/>
      <c r="DE26" s="382">
        <f t="shared" si="62"/>
        <v>0</v>
      </c>
      <c r="DF26" s="501" t="e">
        <f t="shared" si="63"/>
        <v>#DIV/0!</v>
      </c>
      <c r="DG26" s="501" t="e">
        <f t="shared" si="64"/>
        <v>#DIV/0!</v>
      </c>
      <c r="DH26" s="501" t="e">
        <f t="shared" si="65"/>
        <v>#DIV/0!</v>
      </c>
      <c r="DI26" s="501" t="e">
        <f t="shared" si="66"/>
        <v>#DIV/0!</v>
      </c>
      <c r="DJ26" s="501" t="e">
        <f t="shared" si="105"/>
        <v>#DIV/0!</v>
      </c>
      <c r="DK26" s="382"/>
      <c r="DL26" s="382"/>
      <c r="DM26" s="382"/>
      <c r="DN26" s="382">
        <f t="shared" si="67"/>
        <v>1</v>
      </c>
      <c r="DO26" s="501" t="e">
        <f t="shared" si="68"/>
        <v>#DIV/0!</v>
      </c>
      <c r="DP26" s="501" t="e">
        <f t="shared" si="69"/>
        <v>#DIV/0!</v>
      </c>
      <c r="DQ26" s="501" t="e">
        <f t="shared" si="70"/>
        <v>#DIV/0!</v>
      </c>
      <c r="DR26" s="501" t="e">
        <f t="shared" si="71"/>
        <v>#DIV/0!</v>
      </c>
      <c r="DS26" s="501" t="e">
        <f t="shared" si="72"/>
        <v>#DIV/0!</v>
      </c>
      <c r="DT26" s="501" t="e">
        <f t="shared" si="73"/>
        <v>#DIV/0!</v>
      </c>
      <c r="DU26" s="501">
        <f t="shared" si="74"/>
        <v>0</v>
      </c>
      <c r="DV26" s="382"/>
      <c r="DW26" s="382" t="b">
        <f t="shared" si="75"/>
        <v>1</v>
      </c>
      <c r="DX26" s="382" t="b">
        <f t="shared" si="76"/>
        <v>1</v>
      </c>
      <c r="DY26" s="382" t="b">
        <f t="shared" si="77"/>
        <v>1</v>
      </c>
      <c r="DZ26" s="382" t="b">
        <f t="shared" si="78"/>
        <v>1</v>
      </c>
      <c r="EA26" s="382" t="b">
        <f t="shared" si="79"/>
        <v>1</v>
      </c>
    </row>
    <row r="27" spans="1:131" s="517" customFormat="1" ht="18.649999999999999" customHeight="1" thickBot="1" x14ac:dyDescent="0.45">
      <c r="A27" s="391"/>
      <c r="B27" s="479">
        <f t="shared" si="80"/>
        <v>20</v>
      </c>
      <c r="C27" s="502">
        <v>8</v>
      </c>
      <c r="D27" s="792"/>
      <c r="E27" s="793"/>
      <c r="F27" s="544"/>
      <c r="G27" s="545"/>
      <c r="H27" s="546"/>
      <c r="I27" s="550"/>
      <c r="J27" s="551"/>
      <c r="K27" s="552"/>
      <c r="L27" s="552"/>
      <c r="M27" s="552"/>
      <c r="N27" s="553"/>
      <c r="O27" s="547"/>
      <c r="P27" s="548"/>
      <c r="Q27" s="549"/>
      <c r="R27" s="554"/>
      <c r="S27" s="503" t="str">
        <f t="shared" si="2"/>
        <v/>
      </c>
      <c r="T27" s="504" t="str">
        <f t="shared" si="3"/>
        <v/>
      </c>
      <c r="U27" s="505">
        <f t="shared" si="4"/>
        <v>0</v>
      </c>
      <c r="V27" s="480" t="str">
        <f t="shared" si="5"/>
        <v/>
      </c>
      <c r="W27" s="481" t="str">
        <f t="shared" si="6"/>
        <v/>
      </c>
      <c r="X27" s="506">
        <f t="shared" si="7"/>
        <v>0</v>
      </c>
      <c r="Y27" s="507" t="str">
        <f t="shared" si="8"/>
        <v/>
      </c>
      <c r="Z27" s="392"/>
      <c r="AA27" s="382"/>
      <c r="AB27" s="382">
        <v>8</v>
      </c>
      <c r="AC27" s="456">
        <f t="shared" si="9"/>
        <v>20</v>
      </c>
      <c r="AD27" s="456">
        <f t="shared" si="81"/>
        <v>0</v>
      </c>
      <c r="AE27" s="456">
        <f t="shared" si="82"/>
        <v>0</v>
      </c>
      <c r="AF27" s="456"/>
      <c r="AG27" s="482">
        <f t="shared" si="83"/>
        <v>0</v>
      </c>
      <c r="AH27" s="508">
        <f t="shared" si="10"/>
        <v>0</v>
      </c>
      <c r="AI27" s="509">
        <f>IF(SUM(AH27:AH$99)=0,0,F27&gt;0)</f>
        <v>0</v>
      </c>
      <c r="AJ27" s="508">
        <f t="shared" si="11"/>
        <v>0</v>
      </c>
      <c r="AK27" s="509">
        <f>IF(SUM(AH27:AH$99)=0,0,AND(AI27=FALSE,AJ27=0,SUM(AJ27:AJ$99)&gt;0))</f>
        <v>0</v>
      </c>
      <c r="AL27" s="509">
        <f t="shared" si="84"/>
        <v>0</v>
      </c>
      <c r="AM27" s="509">
        <f t="shared" si="13"/>
        <v>0</v>
      </c>
      <c r="AN27" s="510">
        <f t="shared" si="14"/>
        <v>0</v>
      </c>
      <c r="AO27" s="510">
        <f t="shared" si="15"/>
        <v>0</v>
      </c>
      <c r="AP27" s="486">
        <f t="shared" si="16"/>
        <v>0</v>
      </c>
      <c r="AQ27" s="486">
        <f t="shared" si="85"/>
        <v>0</v>
      </c>
      <c r="AR27" s="509">
        <f t="shared" si="17"/>
        <v>0</v>
      </c>
      <c r="AS27" s="509" t="str">
        <f t="shared" si="86"/>
        <v/>
      </c>
      <c r="AT27" s="509">
        <f t="shared" si="18"/>
        <v>0</v>
      </c>
      <c r="AU27" s="485">
        <f t="shared" si="87"/>
        <v>0</v>
      </c>
      <c r="AV27" s="509">
        <f t="shared" si="19"/>
        <v>0</v>
      </c>
      <c r="AW27" s="509">
        <f t="shared" si="20"/>
        <v>0</v>
      </c>
      <c r="AX27" s="509">
        <f t="shared" si="21"/>
        <v>0</v>
      </c>
      <c r="AY27" s="484">
        <f t="shared" si="88"/>
        <v>0</v>
      </c>
      <c r="AZ27" s="509">
        <f t="shared" si="22"/>
        <v>0</v>
      </c>
      <c r="BA27" s="483">
        <f t="shared" si="89"/>
        <v>0</v>
      </c>
      <c r="BB27" s="487" t="str">
        <f t="shared" si="90"/>
        <v/>
      </c>
      <c r="BC27" s="487" t="str">
        <f t="shared" si="91"/>
        <v/>
      </c>
      <c r="BD27" s="509">
        <f t="shared" si="23"/>
        <v>0</v>
      </c>
      <c r="BE27" s="509">
        <f t="shared" si="24"/>
        <v>0</v>
      </c>
      <c r="BF27" s="509">
        <f t="shared" si="25"/>
        <v>0</v>
      </c>
      <c r="BG27" s="511" t="b">
        <f t="shared" si="26"/>
        <v>0</v>
      </c>
      <c r="BH27" s="488" t="str">
        <f t="shared" si="27"/>
        <v/>
      </c>
      <c r="BI27" s="512">
        <f t="shared" si="28"/>
        <v>0</v>
      </c>
      <c r="BJ27" s="513">
        <f t="shared" si="29"/>
        <v>0</v>
      </c>
      <c r="BK27" s="513">
        <f t="shared" si="92"/>
        <v>0</v>
      </c>
      <c r="BL27" s="515">
        <f t="shared" si="30"/>
        <v>0</v>
      </c>
      <c r="BM27" s="514">
        <f t="shared" si="31"/>
        <v>0</v>
      </c>
      <c r="BN27" s="490">
        <f t="shared" si="32"/>
        <v>0</v>
      </c>
      <c r="BO27" s="490">
        <f t="shared" si="33"/>
        <v>0</v>
      </c>
      <c r="BP27" s="513">
        <f t="shared" si="93"/>
        <v>0</v>
      </c>
      <c r="BQ27" s="493">
        <f t="shared" si="34"/>
        <v>0</v>
      </c>
      <c r="BR27" s="458" t="e">
        <f t="shared" si="35"/>
        <v>#DIV/0!</v>
      </c>
      <c r="BS27" s="512">
        <f t="shared" si="106"/>
        <v>0</v>
      </c>
      <c r="BT27" s="513">
        <f t="shared" si="107"/>
        <v>0</v>
      </c>
      <c r="BU27" s="513">
        <f t="shared" si="108"/>
        <v>0</v>
      </c>
      <c r="BV27" s="491">
        <f t="shared" si="109"/>
        <v>0</v>
      </c>
      <c r="BW27" s="489">
        <f t="shared" si="37"/>
        <v>0</v>
      </c>
      <c r="BX27" s="490">
        <f t="shared" si="38"/>
        <v>0</v>
      </c>
      <c r="BY27" s="513">
        <f t="shared" si="97"/>
        <v>0</v>
      </c>
      <c r="BZ27" s="490">
        <f t="shared" si="98"/>
        <v>0</v>
      </c>
      <c r="CA27" s="493">
        <f t="shared" si="39"/>
        <v>0</v>
      </c>
      <c r="CB27" s="494" t="e">
        <f t="shared" si="40"/>
        <v>#DIV/0!</v>
      </c>
      <c r="CC27" s="489" t="e">
        <f t="shared" si="41"/>
        <v>#DIV/0!</v>
      </c>
      <c r="CD27" s="490">
        <f t="shared" si="42"/>
        <v>0</v>
      </c>
      <c r="CE27" s="495">
        <f t="shared" si="99"/>
        <v>0</v>
      </c>
      <c r="CF27" s="495">
        <f t="shared" si="43"/>
        <v>0</v>
      </c>
      <c r="CG27" s="496" t="e">
        <f t="shared" si="44"/>
        <v>#DIV/0!</v>
      </c>
      <c r="CH27" s="496" t="e">
        <f t="shared" si="45"/>
        <v>#DIV/0!</v>
      </c>
      <c r="CI27" s="497" t="e">
        <f t="shared" si="100"/>
        <v>#DIV/0!</v>
      </c>
      <c r="CJ27" s="498" t="e">
        <f t="shared" si="46"/>
        <v>#DIV/0!</v>
      </c>
      <c r="CK27" s="382" t="e">
        <f t="shared" si="101"/>
        <v>#DIV/0!</v>
      </c>
      <c r="CL27" s="382" t="str">
        <f t="shared" si="47"/>
        <v/>
      </c>
      <c r="CM27" s="499" t="e">
        <f t="shared" si="102"/>
        <v>#DIV/0!</v>
      </c>
      <c r="CN27" s="500" t="e">
        <f t="shared" si="103"/>
        <v>#DIV/0!</v>
      </c>
      <c r="CO27" s="500">
        <f t="shared" si="104"/>
        <v>0</v>
      </c>
      <c r="CP27" s="382">
        <f t="shared" si="48"/>
        <v>1</v>
      </c>
      <c r="CQ27" s="382">
        <f t="shared" si="49"/>
        <v>1</v>
      </c>
      <c r="CR27" s="382" t="str">
        <f t="shared" si="50"/>
        <v/>
      </c>
      <c r="CS27" s="382">
        <f t="shared" si="51"/>
        <v>0</v>
      </c>
      <c r="CT27" s="501">
        <f t="shared" si="52"/>
        <v>0</v>
      </c>
      <c r="CU27" s="382" t="str">
        <f t="shared" si="53"/>
        <v>OK</v>
      </c>
      <c r="CV27" s="425">
        <f t="shared" si="54"/>
        <v>0.05</v>
      </c>
      <c r="CW27" s="501" t="e">
        <f t="shared" si="55"/>
        <v>#DIV/0!</v>
      </c>
      <c r="CX27" s="501" t="e">
        <f t="shared" si="56"/>
        <v>#DIV/0!</v>
      </c>
      <c r="CY27" s="501" t="e">
        <f t="shared" si="57"/>
        <v>#DIV/0!</v>
      </c>
      <c r="CZ27" s="501" t="e">
        <f t="shared" si="58"/>
        <v>#DIV/0!</v>
      </c>
      <c r="DA27" s="501">
        <f t="shared" si="59"/>
        <v>1</v>
      </c>
      <c r="DB27" s="501">
        <f t="shared" si="60"/>
        <v>0</v>
      </c>
      <c r="DC27" s="382" t="str">
        <f t="shared" si="61"/>
        <v>Soft</v>
      </c>
      <c r="DD27" s="382"/>
      <c r="DE27" s="382">
        <f t="shared" si="62"/>
        <v>0</v>
      </c>
      <c r="DF27" s="501" t="e">
        <f t="shared" si="63"/>
        <v>#DIV/0!</v>
      </c>
      <c r="DG27" s="501" t="e">
        <f t="shared" si="64"/>
        <v>#DIV/0!</v>
      </c>
      <c r="DH27" s="501" t="e">
        <f t="shared" si="65"/>
        <v>#DIV/0!</v>
      </c>
      <c r="DI27" s="501" t="e">
        <f t="shared" si="66"/>
        <v>#DIV/0!</v>
      </c>
      <c r="DJ27" s="501" t="e">
        <f t="shared" si="105"/>
        <v>#DIV/0!</v>
      </c>
      <c r="DK27" s="382"/>
      <c r="DL27" s="382"/>
      <c r="DM27" s="382"/>
      <c r="DN27" s="382">
        <f t="shared" si="67"/>
        <v>1</v>
      </c>
      <c r="DO27" s="501" t="e">
        <f t="shared" si="68"/>
        <v>#DIV/0!</v>
      </c>
      <c r="DP27" s="501" t="e">
        <f t="shared" si="69"/>
        <v>#DIV/0!</v>
      </c>
      <c r="DQ27" s="501" t="e">
        <f t="shared" si="70"/>
        <v>#DIV/0!</v>
      </c>
      <c r="DR27" s="501" t="e">
        <f t="shared" si="71"/>
        <v>#DIV/0!</v>
      </c>
      <c r="DS27" s="501" t="e">
        <f t="shared" si="72"/>
        <v>#DIV/0!</v>
      </c>
      <c r="DT27" s="501" t="e">
        <f t="shared" si="73"/>
        <v>#DIV/0!</v>
      </c>
      <c r="DU27" s="501">
        <f t="shared" si="74"/>
        <v>0</v>
      </c>
      <c r="DV27" s="382"/>
      <c r="DW27" s="382" t="b">
        <f t="shared" si="75"/>
        <v>1</v>
      </c>
      <c r="DX27" s="382" t="b">
        <f t="shared" si="76"/>
        <v>1</v>
      </c>
      <c r="DY27" s="382" t="b">
        <f t="shared" si="77"/>
        <v>1</v>
      </c>
      <c r="DZ27" s="382" t="b">
        <f t="shared" si="78"/>
        <v>1</v>
      </c>
      <c r="EA27" s="382" t="b">
        <f t="shared" si="79"/>
        <v>1</v>
      </c>
    </row>
    <row r="28" spans="1:131" s="517" customFormat="1" ht="18.649999999999999" customHeight="1" thickBot="1" x14ac:dyDescent="0.45">
      <c r="A28" s="391"/>
      <c r="B28" s="479">
        <f t="shared" si="80"/>
        <v>20</v>
      </c>
      <c r="C28" s="502">
        <v>9</v>
      </c>
      <c r="D28" s="792"/>
      <c r="E28" s="793"/>
      <c r="F28" s="544"/>
      <c r="G28" s="545"/>
      <c r="H28" s="546"/>
      <c r="I28" s="550"/>
      <c r="J28" s="551"/>
      <c r="K28" s="552"/>
      <c r="L28" s="552"/>
      <c r="M28" s="552"/>
      <c r="N28" s="553"/>
      <c r="O28" s="547"/>
      <c r="P28" s="548"/>
      <c r="Q28" s="549"/>
      <c r="R28" s="554"/>
      <c r="S28" s="503" t="str">
        <f t="shared" si="2"/>
        <v/>
      </c>
      <c r="T28" s="504" t="str">
        <f t="shared" si="3"/>
        <v/>
      </c>
      <c r="U28" s="505">
        <f t="shared" si="4"/>
        <v>0</v>
      </c>
      <c r="V28" s="480" t="str">
        <f t="shared" si="5"/>
        <v/>
      </c>
      <c r="W28" s="481" t="str">
        <f t="shared" si="6"/>
        <v/>
      </c>
      <c r="X28" s="506">
        <f t="shared" si="7"/>
        <v>0</v>
      </c>
      <c r="Y28" s="507" t="str">
        <f t="shared" si="8"/>
        <v/>
      </c>
      <c r="Z28" s="392"/>
      <c r="AA28" s="382"/>
      <c r="AB28" s="382">
        <v>9</v>
      </c>
      <c r="AC28" s="456">
        <f t="shared" si="9"/>
        <v>20</v>
      </c>
      <c r="AD28" s="456">
        <f t="shared" si="81"/>
        <v>0</v>
      </c>
      <c r="AE28" s="456">
        <f t="shared" si="82"/>
        <v>0</v>
      </c>
      <c r="AF28" s="456"/>
      <c r="AG28" s="482">
        <f t="shared" si="83"/>
        <v>0</v>
      </c>
      <c r="AH28" s="508">
        <f t="shared" si="10"/>
        <v>0</v>
      </c>
      <c r="AI28" s="509">
        <f>IF(SUM(AH28:AH$99)=0,0,F28&gt;0)</f>
        <v>0</v>
      </c>
      <c r="AJ28" s="508">
        <f t="shared" si="11"/>
        <v>0</v>
      </c>
      <c r="AK28" s="509">
        <f>IF(SUM(AH28:AH$99)=0,0,AND(AI28=FALSE,AJ28=0,SUM(AJ28:AJ$99)&gt;0))</f>
        <v>0</v>
      </c>
      <c r="AL28" s="509">
        <f t="shared" si="84"/>
        <v>0</v>
      </c>
      <c r="AM28" s="509">
        <f t="shared" si="13"/>
        <v>0</v>
      </c>
      <c r="AN28" s="510">
        <f t="shared" si="14"/>
        <v>0</v>
      </c>
      <c r="AO28" s="510">
        <f t="shared" si="15"/>
        <v>0</v>
      </c>
      <c r="AP28" s="486">
        <f t="shared" si="16"/>
        <v>0</v>
      </c>
      <c r="AQ28" s="486">
        <f t="shared" si="85"/>
        <v>0</v>
      </c>
      <c r="AR28" s="509">
        <f t="shared" si="17"/>
        <v>0</v>
      </c>
      <c r="AS28" s="509" t="str">
        <f t="shared" si="86"/>
        <v/>
      </c>
      <c r="AT28" s="509">
        <f t="shared" si="18"/>
        <v>0</v>
      </c>
      <c r="AU28" s="485">
        <f t="shared" si="87"/>
        <v>0</v>
      </c>
      <c r="AV28" s="509">
        <f t="shared" si="19"/>
        <v>0</v>
      </c>
      <c r="AW28" s="509">
        <f t="shared" si="20"/>
        <v>0</v>
      </c>
      <c r="AX28" s="509">
        <f t="shared" si="21"/>
        <v>0</v>
      </c>
      <c r="AY28" s="484">
        <f t="shared" si="88"/>
        <v>0</v>
      </c>
      <c r="AZ28" s="509">
        <f t="shared" si="22"/>
        <v>0</v>
      </c>
      <c r="BA28" s="483">
        <f t="shared" si="89"/>
        <v>0</v>
      </c>
      <c r="BB28" s="487" t="str">
        <f t="shared" si="90"/>
        <v/>
      </c>
      <c r="BC28" s="487" t="str">
        <f t="shared" si="91"/>
        <v/>
      </c>
      <c r="BD28" s="509">
        <f t="shared" si="23"/>
        <v>0</v>
      </c>
      <c r="BE28" s="509">
        <f t="shared" si="24"/>
        <v>0</v>
      </c>
      <c r="BF28" s="509">
        <f t="shared" si="25"/>
        <v>0</v>
      </c>
      <c r="BG28" s="511" t="b">
        <f t="shared" si="26"/>
        <v>0</v>
      </c>
      <c r="BH28" s="488" t="str">
        <f t="shared" si="27"/>
        <v/>
      </c>
      <c r="BI28" s="512">
        <f t="shared" si="28"/>
        <v>0</v>
      </c>
      <c r="BJ28" s="513">
        <f t="shared" si="29"/>
        <v>0</v>
      </c>
      <c r="BK28" s="513">
        <f t="shared" si="92"/>
        <v>0</v>
      </c>
      <c r="BL28" s="515">
        <f t="shared" si="30"/>
        <v>0</v>
      </c>
      <c r="BM28" s="514">
        <f t="shared" si="31"/>
        <v>0</v>
      </c>
      <c r="BN28" s="490">
        <f t="shared" si="32"/>
        <v>0</v>
      </c>
      <c r="BO28" s="490">
        <f t="shared" si="33"/>
        <v>0</v>
      </c>
      <c r="BP28" s="513">
        <f t="shared" si="93"/>
        <v>0</v>
      </c>
      <c r="BQ28" s="493">
        <f t="shared" si="34"/>
        <v>0</v>
      </c>
      <c r="BR28" s="458" t="e">
        <f t="shared" si="35"/>
        <v>#DIV/0!</v>
      </c>
      <c r="BS28" s="512">
        <f t="shared" si="106"/>
        <v>0</v>
      </c>
      <c r="BT28" s="513">
        <f t="shared" si="107"/>
        <v>0</v>
      </c>
      <c r="BU28" s="513">
        <f t="shared" si="108"/>
        <v>0</v>
      </c>
      <c r="BV28" s="491">
        <f t="shared" si="109"/>
        <v>0</v>
      </c>
      <c r="BW28" s="489">
        <f t="shared" si="37"/>
        <v>0</v>
      </c>
      <c r="BX28" s="490">
        <f t="shared" si="38"/>
        <v>0</v>
      </c>
      <c r="BY28" s="513">
        <f t="shared" si="97"/>
        <v>0</v>
      </c>
      <c r="BZ28" s="490">
        <f t="shared" si="98"/>
        <v>0</v>
      </c>
      <c r="CA28" s="493">
        <f t="shared" si="39"/>
        <v>0</v>
      </c>
      <c r="CB28" s="494" t="e">
        <f t="shared" si="40"/>
        <v>#DIV/0!</v>
      </c>
      <c r="CC28" s="489" t="e">
        <f t="shared" si="41"/>
        <v>#DIV/0!</v>
      </c>
      <c r="CD28" s="490">
        <f t="shared" si="42"/>
        <v>0</v>
      </c>
      <c r="CE28" s="495">
        <f t="shared" si="99"/>
        <v>0</v>
      </c>
      <c r="CF28" s="495">
        <f t="shared" si="43"/>
        <v>0</v>
      </c>
      <c r="CG28" s="496" t="e">
        <f t="shared" si="44"/>
        <v>#DIV/0!</v>
      </c>
      <c r="CH28" s="496" t="e">
        <f t="shared" si="45"/>
        <v>#DIV/0!</v>
      </c>
      <c r="CI28" s="497" t="e">
        <f t="shared" si="100"/>
        <v>#DIV/0!</v>
      </c>
      <c r="CJ28" s="498" t="e">
        <f t="shared" si="46"/>
        <v>#DIV/0!</v>
      </c>
      <c r="CK28" s="382" t="e">
        <f t="shared" si="101"/>
        <v>#DIV/0!</v>
      </c>
      <c r="CL28" s="382" t="str">
        <f t="shared" si="47"/>
        <v/>
      </c>
      <c r="CM28" s="499" t="e">
        <f t="shared" si="102"/>
        <v>#DIV/0!</v>
      </c>
      <c r="CN28" s="500" t="e">
        <f t="shared" si="103"/>
        <v>#DIV/0!</v>
      </c>
      <c r="CO28" s="500">
        <f t="shared" si="104"/>
        <v>0</v>
      </c>
      <c r="CP28" s="382">
        <f t="shared" si="48"/>
        <v>1</v>
      </c>
      <c r="CQ28" s="382">
        <f t="shared" si="49"/>
        <v>1</v>
      </c>
      <c r="CR28" s="382" t="str">
        <f t="shared" si="50"/>
        <v/>
      </c>
      <c r="CS28" s="382">
        <f t="shared" si="51"/>
        <v>0</v>
      </c>
      <c r="CT28" s="501">
        <f t="shared" si="52"/>
        <v>0</v>
      </c>
      <c r="CU28" s="382" t="str">
        <f t="shared" si="53"/>
        <v>OK</v>
      </c>
      <c r="CV28" s="425">
        <f t="shared" si="54"/>
        <v>0.05</v>
      </c>
      <c r="CW28" s="501" t="e">
        <f t="shared" si="55"/>
        <v>#DIV/0!</v>
      </c>
      <c r="CX28" s="501" t="e">
        <f t="shared" si="56"/>
        <v>#DIV/0!</v>
      </c>
      <c r="CY28" s="501" t="e">
        <f t="shared" si="57"/>
        <v>#DIV/0!</v>
      </c>
      <c r="CZ28" s="501" t="e">
        <f t="shared" si="58"/>
        <v>#DIV/0!</v>
      </c>
      <c r="DA28" s="501">
        <f t="shared" si="59"/>
        <v>1</v>
      </c>
      <c r="DB28" s="501">
        <f t="shared" si="60"/>
        <v>0</v>
      </c>
      <c r="DC28" s="382" t="str">
        <f t="shared" si="61"/>
        <v>Soft</v>
      </c>
      <c r="DD28" s="382"/>
      <c r="DE28" s="382">
        <f t="shared" si="62"/>
        <v>0</v>
      </c>
      <c r="DF28" s="501" t="e">
        <f t="shared" si="63"/>
        <v>#DIV/0!</v>
      </c>
      <c r="DG28" s="501" t="e">
        <f t="shared" si="64"/>
        <v>#DIV/0!</v>
      </c>
      <c r="DH28" s="501" t="e">
        <f t="shared" si="65"/>
        <v>#DIV/0!</v>
      </c>
      <c r="DI28" s="501" t="e">
        <f t="shared" si="66"/>
        <v>#DIV/0!</v>
      </c>
      <c r="DJ28" s="501" t="e">
        <f t="shared" si="105"/>
        <v>#DIV/0!</v>
      </c>
      <c r="DK28" s="382"/>
      <c r="DL28" s="382"/>
      <c r="DM28" s="382"/>
      <c r="DN28" s="382">
        <f t="shared" si="67"/>
        <v>1</v>
      </c>
      <c r="DO28" s="501" t="e">
        <f t="shared" si="68"/>
        <v>#DIV/0!</v>
      </c>
      <c r="DP28" s="501" t="e">
        <f t="shared" si="69"/>
        <v>#DIV/0!</v>
      </c>
      <c r="DQ28" s="501" t="e">
        <f t="shared" si="70"/>
        <v>#DIV/0!</v>
      </c>
      <c r="DR28" s="501" t="e">
        <f t="shared" si="71"/>
        <v>#DIV/0!</v>
      </c>
      <c r="DS28" s="501" t="e">
        <f t="shared" si="72"/>
        <v>#DIV/0!</v>
      </c>
      <c r="DT28" s="501" t="e">
        <f t="shared" si="73"/>
        <v>#DIV/0!</v>
      </c>
      <c r="DU28" s="501">
        <f t="shared" si="74"/>
        <v>0</v>
      </c>
      <c r="DV28" s="382"/>
      <c r="DW28" s="382" t="b">
        <f t="shared" si="75"/>
        <v>1</v>
      </c>
      <c r="DX28" s="382" t="b">
        <f t="shared" si="76"/>
        <v>1</v>
      </c>
      <c r="DY28" s="382" t="b">
        <f t="shared" si="77"/>
        <v>1</v>
      </c>
      <c r="DZ28" s="382" t="b">
        <f t="shared" si="78"/>
        <v>1</v>
      </c>
      <c r="EA28" s="382" t="b">
        <f t="shared" si="79"/>
        <v>1</v>
      </c>
    </row>
    <row r="29" spans="1:131" s="517" customFormat="1" ht="18.649999999999999" customHeight="1" thickBot="1" x14ac:dyDescent="0.45">
      <c r="A29" s="391"/>
      <c r="B29" s="479">
        <f t="shared" si="80"/>
        <v>20</v>
      </c>
      <c r="C29" s="502">
        <v>10</v>
      </c>
      <c r="D29" s="792"/>
      <c r="E29" s="793"/>
      <c r="F29" s="544"/>
      <c r="G29" s="545"/>
      <c r="H29" s="546"/>
      <c r="I29" s="550"/>
      <c r="J29" s="551"/>
      <c r="K29" s="552"/>
      <c r="L29" s="552"/>
      <c r="M29" s="552"/>
      <c r="N29" s="553"/>
      <c r="O29" s="547"/>
      <c r="P29" s="548"/>
      <c r="Q29" s="549"/>
      <c r="R29" s="554"/>
      <c r="S29" s="503" t="str">
        <f t="shared" si="2"/>
        <v/>
      </c>
      <c r="T29" s="504" t="str">
        <f t="shared" si="3"/>
        <v/>
      </c>
      <c r="U29" s="505">
        <f t="shared" si="4"/>
        <v>0</v>
      </c>
      <c r="V29" s="480" t="str">
        <f t="shared" si="5"/>
        <v/>
      </c>
      <c r="W29" s="481" t="str">
        <f t="shared" si="6"/>
        <v/>
      </c>
      <c r="X29" s="506">
        <f t="shared" si="7"/>
        <v>0</v>
      </c>
      <c r="Y29" s="507" t="str">
        <f t="shared" si="8"/>
        <v/>
      </c>
      <c r="Z29" s="392"/>
      <c r="AA29" s="382"/>
      <c r="AB29" s="382">
        <v>10</v>
      </c>
      <c r="AC29" s="456">
        <f t="shared" si="9"/>
        <v>20</v>
      </c>
      <c r="AD29" s="456">
        <f t="shared" si="81"/>
        <v>0</v>
      </c>
      <c r="AE29" s="456">
        <f t="shared" si="82"/>
        <v>0</v>
      </c>
      <c r="AF29" s="456"/>
      <c r="AG29" s="482">
        <f t="shared" si="83"/>
        <v>0</v>
      </c>
      <c r="AH29" s="508">
        <f t="shared" si="10"/>
        <v>0</v>
      </c>
      <c r="AI29" s="509">
        <f>IF(SUM(AH29:AH$99)=0,0,F29&gt;0)</f>
        <v>0</v>
      </c>
      <c r="AJ29" s="508">
        <f t="shared" si="11"/>
        <v>0</v>
      </c>
      <c r="AK29" s="509">
        <f>IF(SUM(AH29:AH$99)=0,0,AND(AI29=FALSE,AJ29=0,SUM(AJ29:AJ$99)&gt;0))</f>
        <v>0</v>
      </c>
      <c r="AL29" s="509">
        <f t="shared" si="84"/>
        <v>0</v>
      </c>
      <c r="AM29" s="509">
        <f t="shared" si="13"/>
        <v>0</v>
      </c>
      <c r="AN29" s="510">
        <f t="shared" si="14"/>
        <v>0</v>
      </c>
      <c r="AO29" s="510">
        <f t="shared" si="15"/>
        <v>0</v>
      </c>
      <c r="AP29" s="486">
        <f t="shared" si="16"/>
        <v>0</v>
      </c>
      <c r="AQ29" s="486">
        <f t="shared" si="85"/>
        <v>0</v>
      </c>
      <c r="AR29" s="509">
        <f t="shared" si="17"/>
        <v>0</v>
      </c>
      <c r="AS29" s="509" t="str">
        <f t="shared" si="86"/>
        <v/>
      </c>
      <c r="AT29" s="509">
        <f t="shared" si="18"/>
        <v>0</v>
      </c>
      <c r="AU29" s="485">
        <f t="shared" si="87"/>
        <v>0</v>
      </c>
      <c r="AV29" s="509">
        <f t="shared" si="19"/>
        <v>0</v>
      </c>
      <c r="AW29" s="509">
        <f t="shared" si="20"/>
        <v>0</v>
      </c>
      <c r="AX29" s="509">
        <f t="shared" si="21"/>
        <v>0</v>
      </c>
      <c r="AY29" s="484">
        <f t="shared" si="88"/>
        <v>0</v>
      </c>
      <c r="AZ29" s="509">
        <f t="shared" si="22"/>
        <v>0</v>
      </c>
      <c r="BA29" s="483">
        <f t="shared" si="89"/>
        <v>0</v>
      </c>
      <c r="BB29" s="487" t="str">
        <f t="shared" si="90"/>
        <v/>
      </c>
      <c r="BC29" s="487" t="str">
        <f t="shared" si="91"/>
        <v/>
      </c>
      <c r="BD29" s="509">
        <f t="shared" si="23"/>
        <v>0</v>
      </c>
      <c r="BE29" s="509">
        <f t="shared" si="24"/>
        <v>0</v>
      </c>
      <c r="BF29" s="509">
        <f t="shared" si="25"/>
        <v>0</v>
      </c>
      <c r="BG29" s="511" t="b">
        <f t="shared" si="26"/>
        <v>0</v>
      </c>
      <c r="BH29" s="488" t="str">
        <f t="shared" si="27"/>
        <v/>
      </c>
      <c r="BI29" s="512">
        <f t="shared" si="28"/>
        <v>0</v>
      </c>
      <c r="BJ29" s="513">
        <f t="shared" si="29"/>
        <v>0</v>
      </c>
      <c r="BK29" s="513">
        <f t="shared" si="92"/>
        <v>0</v>
      </c>
      <c r="BL29" s="515">
        <f t="shared" si="30"/>
        <v>0</v>
      </c>
      <c r="BM29" s="514">
        <f t="shared" si="31"/>
        <v>0</v>
      </c>
      <c r="BN29" s="490">
        <f t="shared" si="32"/>
        <v>0</v>
      </c>
      <c r="BO29" s="490">
        <f t="shared" si="33"/>
        <v>0</v>
      </c>
      <c r="BP29" s="513">
        <f t="shared" si="93"/>
        <v>0</v>
      </c>
      <c r="BQ29" s="493">
        <f t="shared" si="34"/>
        <v>0</v>
      </c>
      <c r="BR29" s="458" t="e">
        <f t="shared" si="35"/>
        <v>#DIV/0!</v>
      </c>
      <c r="BS29" s="512">
        <f t="shared" si="106"/>
        <v>0</v>
      </c>
      <c r="BT29" s="513">
        <f t="shared" si="107"/>
        <v>0</v>
      </c>
      <c r="BU29" s="513">
        <f t="shared" si="108"/>
        <v>0</v>
      </c>
      <c r="BV29" s="491">
        <f t="shared" si="109"/>
        <v>0</v>
      </c>
      <c r="BW29" s="489">
        <f t="shared" si="37"/>
        <v>0</v>
      </c>
      <c r="BX29" s="490">
        <f t="shared" si="38"/>
        <v>0</v>
      </c>
      <c r="BY29" s="513">
        <f t="shared" si="97"/>
        <v>0</v>
      </c>
      <c r="BZ29" s="490">
        <f t="shared" si="98"/>
        <v>0</v>
      </c>
      <c r="CA29" s="493">
        <f t="shared" si="39"/>
        <v>0</v>
      </c>
      <c r="CB29" s="494" t="e">
        <f t="shared" si="40"/>
        <v>#DIV/0!</v>
      </c>
      <c r="CC29" s="489" t="e">
        <f t="shared" si="41"/>
        <v>#DIV/0!</v>
      </c>
      <c r="CD29" s="490">
        <f t="shared" si="42"/>
        <v>0</v>
      </c>
      <c r="CE29" s="495">
        <f t="shared" si="99"/>
        <v>0</v>
      </c>
      <c r="CF29" s="495">
        <f t="shared" si="43"/>
        <v>0</v>
      </c>
      <c r="CG29" s="496" t="e">
        <f t="shared" si="44"/>
        <v>#DIV/0!</v>
      </c>
      <c r="CH29" s="496" t="e">
        <f t="shared" si="45"/>
        <v>#DIV/0!</v>
      </c>
      <c r="CI29" s="497" t="e">
        <f t="shared" si="100"/>
        <v>#DIV/0!</v>
      </c>
      <c r="CJ29" s="498" t="e">
        <f t="shared" si="46"/>
        <v>#DIV/0!</v>
      </c>
      <c r="CK29" s="382" t="e">
        <f t="shared" si="101"/>
        <v>#DIV/0!</v>
      </c>
      <c r="CL29" s="382" t="str">
        <f t="shared" si="47"/>
        <v/>
      </c>
      <c r="CM29" s="499" t="e">
        <f t="shared" si="102"/>
        <v>#DIV/0!</v>
      </c>
      <c r="CN29" s="500" t="e">
        <f t="shared" si="103"/>
        <v>#DIV/0!</v>
      </c>
      <c r="CO29" s="500">
        <f t="shared" si="104"/>
        <v>0</v>
      </c>
      <c r="CP29" s="382">
        <f t="shared" si="48"/>
        <v>1</v>
      </c>
      <c r="CQ29" s="382">
        <f t="shared" si="49"/>
        <v>1</v>
      </c>
      <c r="CR29" s="382" t="str">
        <f t="shared" si="50"/>
        <v/>
      </c>
      <c r="CS29" s="382">
        <f t="shared" si="51"/>
        <v>0</v>
      </c>
      <c r="CT29" s="501">
        <f t="shared" si="52"/>
        <v>0</v>
      </c>
      <c r="CU29" s="382" t="str">
        <f t="shared" si="53"/>
        <v>OK</v>
      </c>
      <c r="CV29" s="425">
        <f t="shared" si="54"/>
        <v>0.05</v>
      </c>
      <c r="CW29" s="501" t="e">
        <f t="shared" si="55"/>
        <v>#DIV/0!</v>
      </c>
      <c r="CX29" s="501" t="e">
        <f t="shared" si="56"/>
        <v>#DIV/0!</v>
      </c>
      <c r="CY29" s="501" t="e">
        <f t="shared" si="57"/>
        <v>#DIV/0!</v>
      </c>
      <c r="CZ29" s="501" t="e">
        <f t="shared" si="58"/>
        <v>#DIV/0!</v>
      </c>
      <c r="DA29" s="501">
        <f t="shared" si="59"/>
        <v>1</v>
      </c>
      <c r="DB29" s="501">
        <f t="shared" si="60"/>
        <v>0</v>
      </c>
      <c r="DC29" s="382" t="str">
        <f t="shared" si="61"/>
        <v>Soft</v>
      </c>
      <c r="DD29" s="382"/>
      <c r="DE29" s="382">
        <f t="shared" si="62"/>
        <v>0</v>
      </c>
      <c r="DF29" s="501" t="e">
        <f t="shared" si="63"/>
        <v>#DIV/0!</v>
      </c>
      <c r="DG29" s="501" t="e">
        <f t="shared" si="64"/>
        <v>#DIV/0!</v>
      </c>
      <c r="DH29" s="501" t="e">
        <f t="shared" si="65"/>
        <v>#DIV/0!</v>
      </c>
      <c r="DI29" s="501" t="e">
        <f t="shared" si="66"/>
        <v>#DIV/0!</v>
      </c>
      <c r="DJ29" s="501" t="e">
        <f t="shared" si="105"/>
        <v>#DIV/0!</v>
      </c>
      <c r="DK29" s="382"/>
      <c r="DL29" s="382"/>
      <c r="DM29" s="382"/>
      <c r="DN29" s="382">
        <f t="shared" si="67"/>
        <v>1</v>
      </c>
      <c r="DO29" s="501" t="e">
        <f t="shared" si="68"/>
        <v>#DIV/0!</v>
      </c>
      <c r="DP29" s="501" t="e">
        <f t="shared" si="69"/>
        <v>#DIV/0!</v>
      </c>
      <c r="DQ29" s="501" t="e">
        <f t="shared" si="70"/>
        <v>#DIV/0!</v>
      </c>
      <c r="DR29" s="501" t="e">
        <f t="shared" si="71"/>
        <v>#DIV/0!</v>
      </c>
      <c r="DS29" s="501" t="e">
        <f t="shared" si="72"/>
        <v>#DIV/0!</v>
      </c>
      <c r="DT29" s="501" t="e">
        <f t="shared" si="73"/>
        <v>#DIV/0!</v>
      </c>
      <c r="DU29" s="501">
        <f t="shared" si="74"/>
        <v>0</v>
      </c>
      <c r="DV29" s="382"/>
      <c r="DW29" s="382" t="b">
        <f t="shared" si="75"/>
        <v>1</v>
      </c>
      <c r="DX29" s="382" t="b">
        <f t="shared" si="76"/>
        <v>1</v>
      </c>
      <c r="DY29" s="382" t="b">
        <f t="shared" si="77"/>
        <v>1</v>
      </c>
      <c r="DZ29" s="382" t="b">
        <f t="shared" si="78"/>
        <v>1</v>
      </c>
      <c r="EA29" s="382" t="b">
        <f t="shared" si="79"/>
        <v>1</v>
      </c>
    </row>
    <row r="30" spans="1:131" s="517" customFormat="1" ht="18.649999999999999" customHeight="1" thickBot="1" x14ac:dyDescent="0.45">
      <c r="A30" s="391"/>
      <c r="B30" s="479">
        <f t="shared" si="80"/>
        <v>20</v>
      </c>
      <c r="C30" s="502">
        <v>11</v>
      </c>
      <c r="D30" s="792"/>
      <c r="E30" s="793"/>
      <c r="F30" s="544"/>
      <c r="G30" s="545"/>
      <c r="H30" s="546"/>
      <c r="I30" s="550"/>
      <c r="J30" s="551"/>
      <c r="K30" s="552"/>
      <c r="L30" s="552"/>
      <c r="M30" s="552"/>
      <c r="N30" s="553"/>
      <c r="O30" s="547"/>
      <c r="P30" s="548"/>
      <c r="Q30" s="549"/>
      <c r="R30" s="554"/>
      <c r="S30" s="503" t="str">
        <f t="shared" si="2"/>
        <v/>
      </c>
      <c r="T30" s="504" t="str">
        <f t="shared" si="3"/>
        <v/>
      </c>
      <c r="U30" s="505">
        <f t="shared" si="4"/>
        <v>0</v>
      </c>
      <c r="V30" s="480" t="str">
        <f t="shared" si="5"/>
        <v/>
      </c>
      <c r="W30" s="481" t="str">
        <f t="shared" si="6"/>
        <v/>
      </c>
      <c r="X30" s="506">
        <f t="shared" si="7"/>
        <v>0</v>
      </c>
      <c r="Y30" s="507" t="str">
        <f t="shared" si="8"/>
        <v/>
      </c>
      <c r="Z30" s="392"/>
      <c r="AA30" s="382"/>
      <c r="AB30" s="382">
        <v>11</v>
      </c>
      <c r="AC30" s="456">
        <f t="shared" si="9"/>
        <v>20</v>
      </c>
      <c r="AD30" s="456">
        <f t="shared" si="81"/>
        <v>0</v>
      </c>
      <c r="AE30" s="456">
        <f t="shared" si="82"/>
        <v>0</v>
      </c>
      <c r="AF30" s="456"/>
      <c r="AG30" s="482">
        <f t="shared" si="83"/>
        <v>0</v>
      </c>
      <c r="AH30" s="508">
        <f t="shared" si="10"/>
        <v>0</v>
      </c>
      <c r="AI30" s="509">
        <f>IF(SUM(AH30:AH$99)=0,0,F30&gt;0)</f>
        <v>0</v>
      </c>
      <c r="AJ30" s="508">
        <f t="shared" si="11"/>
        <v>0</v>
      </c>
      <c r="AK30" s="509">
        <f>IF(SUM(AH30:AH$99)=0,0,AND(AI30=FALSE,AJ30=0,SUM(AJ30:AJ$99)&gt;0))</f>
        <v>0</v>
      </c>
      <c r="AL30" s="509">
        <f t="shared" si="84"/>
        <v>0</v>
      </c>
      <c r="AM30" s="509">
        <f t="shared" si="13"/>
        <v>0</v>
      </c>
      <c r="AN30" s="510">
        <f t="shared" si="14"/>
        <v>0</v>
      </c>
      <c r="AO30" s="510">
        <f t="shared" si="15"/>
        <v>0</v>
      </c>
      <c r="AP30" s="486">
        <f t="shared" si="16"/>
        <v>0</v>
      </c>
      <c r="AQ30" s="486">
        <f t="shared" si="85"/>
        <v>0</v>
      </c>
      <c r="AR30" s="509">
        <f t="shared" si="17"/>
        <v>0</v>
      </c>
      <c r="AS30" s="509" t="str">
        <f t="shared" si="86"/>
        <v/>
      </c>
      <c r="AT30" s="509">
        <f t="shared" si="18"/>
        <v>0</v>
      </c>
      <c r="AU30" s="485">
        <f t="shared" si="87"/>
        <v>0</v>
      </c>
      <c r="AV30" s="509">
        <f t="shared" si="19"/>
        <v>0</v>
      </c>
      <c r="AW30" s="509">
        <f t="shared" si="20"/>
        <v>0</v>
      </c>
      <c r="AX30" s="509">
        <f t="shared" si="21"/>
        <v>0</v>
      </c>
      <c r="AY30" s="484">
        <f t="shared" si="88"/>
        <v>0</v>
      </c>
      <c r="AZ30" s="509">
        <f t="shared" si="22"/>
        <v>0</v>
      </c>
      <c r="BA30" s="483">
        <f t="shared" si="89"/>
        <v>0</v>
      </c>
      <c r="BB30" s="487" t="str">
        <f t="shared" si="90"/>
        <v/>
      </c>
      <c r="BC30" s="487" t="str">
        <f t="shared" si="91"/>
        <v/>
      </c>
      <c r="BD30" s="509">
        <f t="shared" si="23"/>
        <v>0</v>
      </c>
      <c r="BE30" s="509">
        <f t="shared" si="24"/>
        <v>0</v>
      </c>
      <c r="BF30" s="509">
        <f t="shared" si="25"/>
        <v>0</v>
      </c>
      <c r="BG30" s="511" t="b">
        <f t="shared" si="26"/>
        <v>0</v>
      </c>
      <c r="BH30" s="488" t="str">
        <f t="shared" si="27"/>
        <v/>
      </c>
      <c r="BI30" s="512">
        <f t="shared" si="28"/>
        <v>0</v>
      </c>
      <c r="BJ30" s="513">
        <f t="shared" si="29"/>
        <v>0</v>
      </c>
      <c r="BK30" s="513">
        <f t="shared" si="92"/>
        <v>0</v>
      </c>
      <c r="BL30" s="515">
        <f t="shared" si="30"/>
        <v>0</v>
      </c>
      <c r="BM30" s="514">
        <f t="shared" si="31"/>
        <v>0</v>
      </c>
      <c r="BN30" s="490">
        <f t="shared" si="32"/>
        <v>0</v>
      </c>
      <c r="BO30" s="490">
        <f t="shared" si="33"/>
        <v>0</v>
      </c>
      <c r="BP30" s="513">
        <f t="shared" si="93"/>
        <v>0</v>
      </c>
      <c r="BQ30" s="493">
        <f t="shared" si="34"/>
        <v>0</v>
      </c>
      <c r="BR30" s="458" t="e">
        <f t="shared" si="35"/>
        <v>#DIV/0!</v>
      </c>
      <c r="BS30" s="512">
        <f t="shared" si="106"/>
        <v>0</v>
      </c>
      <c r="BT30" s="513">
        <f t="shared" si="107"/>
        <v>0</v>
      </c>
      <c r="BU30" s="513">
        <f t="shared" si="108"/>
        <v>0</v>
      </c>
      <c r="BV30" s="491">
        <f t="shared" si="109"/>
        <v>0</v>
      </c>
      <c r="BW30" s="489">
        <f t="shared" si="37"/>
        <v>0</v>
      </c>
      <c r="BX30" s="490">
        <f t="shared" si="38"/>
        <v>0</v>
      </c>
      <c r="BY30" s="513">
        <f t="shared" si="97"/>
        <v>0</v>
      </c>
      <c r="BZ30" s="490">
        <f t="shared" si="98"/>
        <v>0</v>
      </c>
      <c r="CA30" s="493">
        <f t="shared" si="39"/>
        <v>0</v>
      </c>
      <c r="CB30" s="494" t="e">
        <f t="shared" si="40"/>
        <v>#DIV/0!</v>
      </c>
      <c r="CC30" s="489" t="e">
        <f t="shared" si="41"/>
        <v>#DIV/0!</v>
      </c>
      <c r="CD30" s="490">
        <f t="shared" si="42"/>
        <v>0</v>
      </c>
      <c r="CE30" s="495">
        <f t="shared" si="99"/>
        <v>0</v>
      </c>
      <c r="CF30" s="495">
        <f t="shared" si="43"/>
        <v>0</v>
      </c>
      <c r="CG30" s="496" t="e">
        <f t="shared" si="44"/>
        <v>#DIV/0!</v>
      </c>
      <c r="CH30" s="496" t="e">
        <f t="shared" si="45"/>
        <v>#DIV/0!</v>
      </c>
      <c r="CI30" s="497" t="e">
        <f t="shared" si="100"/>
        <v>#DIV/0!</v>
      </c>
      <c r="CJ30" s="498" t="e">
        <f t="shared" si="46"/>
        <v>#DIV/0!</v>
      </c>
      <c r="CK30" s="382" t="e">
        <f t="shared" si="101"/>
        <v>#DIV/0!</v>
      </c>
      <c r="CL30" s="382" t="str">
        <f t="shared" si="47"/>
        <v/>
      </c>
      <c r="CM30" s="499" t="e">
        <f t="shared" si="102"/>
        <v>#DIV/0!</v>
      </c>
      <c r="CN30" s="500" t="e">
        <f t="shared" si="103"/>
        <v>#DIV/0!</v>
      </c>
      <c r="CO30" s="500">
        <f t="shared" si="104"/>
        <v>0</v>
      </c>
      <c r="CP30" s="382">
        <f t="shared" si="48"/>
        <v>1</v>
      </c>
      <c r="CQ30" s="382">
        <f t="shared" si="49"/>
        <v>1</v>
      </c>
      <c r="CR30" s="382" t="str">
        <f t="shared" si="50"/>
        <v/>
      </c>
      <c r="CS30" s="382">
        <f t="shared" si="51"/>
        <v>0</v>
      </c>
      <c r="CT30" s="501">
        <f t="shared" si="52"/>
        <v>0</v>
      </c>
      <c r="CU30" s="382" t="str">
        <f t="shared" si="53"/>
        <v>OK</v>
      </c>
      <c r="CV30" s="425">
        <f t="shared" si="54"/>
        <v>0.05</v>
      </c>
      <c r="CW30" s="501" t="e">
        <f t="shared" si="55"/>
        <v>#DIV/0!</v>
      </c>
      <c r="CX30" s="501" t="e">
        <f t="shared" si="56"/>
        <v>#DIV/0!</v>
      </c>
      <c r="CY30" s="501" t="e">
        <f t="shared" si="57"/>
        <v>#DIV/0!</v>
      </c>
      <c r="CZ30" s="501" t="e">
        <f t="shared" si="58"/>
        <v>#DIV/0!</v>
      </c>
      <c r="DA30" s="501">
        <f t="shared" si="59"/>
        <v>1</v>
      </c>
      <c r="DB30" s="501">
        <f t="shared" si="60"/>
        <v>0</v>
      </c>
      <c r="DC30" s="382" t="str">
        <f t="shared" si="61"/>
        <v>Soft</v>
      </c>
      <c r="DD30" s="382"/>
      <c r="DE30" s="382">
        <f t="shared" si="62"/>
        <v>0</v>
      </c>
      <c r="DF30" s="501" t="e">
        <f t="shared" si="63"/>
        <v>#DIV/0!</v>
      </c>
      <c r="DG30" s="501" t="e">
        <f t="shared" si="64"/>
        <v>#DIV/0!</v>
      </c>
      <c r="DH30" s="501" t="e">
        <f t="shared" si="65"/>
        <v>#DIV/0!</v>
      </c>
      <c r="DI30" s="501" t="e">
        <f t="shared" si="66"/>
        <v>#DIV/0!</v>
      </c>
      <c r="DJ30" s="501" t="e">
        <f t="shared" si="105"/>
        <v>#DIV/0!</v>
      </c>
      <c r="DK30" s="382"/>
      <c r="DL30" s="382"/>
      <c r="DM30" s="382"/>
      <c r="DN30" s="382">
        <f t="shared" si="67"/>
        <v>1</v>
      </c>
      <c r="DO30" s="501" t="e">
        <f t="shared" si="68"/>
        <v>#DIV/0!</v>
      </c>
      <c r="DP30" s="501" t="e">
        <f t="shared" si="69"/>
        <v>#DIV/0!</v>
      </c>
      <c r="DQ30" s="501" t="e">
        <f t="shared" si="70"/>
        <v>#DIV/0!</v>
      </c>
      <c r="DR30" s="501" t="e">
        <f t="shared" si="71"/>
        <v>#DIV/0!</v>
      </c>
      <c r="DS30" s="501" t="e">
        <f t="shared" si="72"/>
        <v>#DIV/0!</v>
      </c>
      <c r="DT30" s="501" t="e">
        <f t="shared" si="73"/>
        <v>#DIV/0!</v>
      </c>
      <c r="DU30" s="501">
        <f t="shared" si="74"/>
        <v>0</v>
      </c>
      <c r="DV30" s="382"/>
      <c r="DW30" s="382" t="b">
        <f t="shared" si="75"/>
        <v>1</v>
      </c>
      <c r="DX30" s="382" t="b">
        <f t="shared" si="76"/>
        <v>1</v>
      </c>
      <c r="DY30" s="382" t="b">
        <f t="shared" si="77"/>
        <v>1</v>
      </c>
      <c r="DZ30" s="382" t="b">
        <f t="shared" si="78"/>
        <v>1</v>
      </c>
      <c r="EA30" s="382" t="b">
        <f t="shared" si="79"/>
        <v>1</v>
      </c>
    </row>
    <row r="31" spans="1:131" s="517" customFormat="1" ht="18.649999999999999" customHeight="1" thickBot="1" x14ac:dyDescent="0.45">
      <c r="A31" s="391"/>
      <c r="B31" s="516">
        <f t="shared" si="80"/>
        <v>20</v>
      </c>
      <c r="C31" s="502">
        <v>12</v>
      </c>
      <c r="D31" s="792"/>
      <c r="E31" s="793"/>
      <c r="F31" s="544"/>
      <c r="G31" s="545"/>
      <c r="H31" s="546"/>
      <c r="I31" s="550"/>
      <c r="J31" s="551"/>
      <c r="K31" s="552"/>
      <c r="L31" s="552"/>
      <c r="M31" s="552"/>
      <c r="N31" s="553"/>
      <c r="O31" s="547"/>
      <c r="P31" s="548"/>
      <c r="Q31" s="549"/>
      <c r="R31" s="554"/>
      <c r="S31" s="503" t="str">
        <f t="shared" si="2"/>
        <v/>
      </c>
      <c r="T31" s="504" t="str">
        <f t="shared" si="3"/>
        <v/>
      </c>
      <c r="U31" s="505">
        <f t="shared" si="4"/>
        <v>0</v>
      </c>
      <c r="V31" s="480" t="str">
        <f t="shared" si="5"/>
        <v/>
      </c>
      <c r="W31" s="481" t="str">
        <f t="shared" si="6"/>
        <v/>
      </c>
      <c r="X31" s="506">
        <f t="shared" si="7"/>
        <v>0</v>
      </c>
      <c r="Y31" s="507" t="str">
        <f t="shared" si="8"/>
        <v/>
      </c>
      <c r="Z31" s="392"/>
      <c r="AA31" s="382"/>
      <c r="AB31" s="382">
        <v>12</v>
      </c>
      <c r="AC31" s="456">
        <f t="shared" si="9"/>
        <v>20</v>
      </c>
      <c r="AD31" s="456">
        <f t="shared" si="81"/>
        <v>0</v>
      </c>
      <c r="AE31" s="456">
        <f t="shared" si="82"/>
        <v>0</v>
      </c>
      <c r="AF31" s="456"/>
      <c r="AG31" s="482">
        <f t="shared" si="83"/>
        <v>0</v>
      </c>
      <c r="AH31" s="508">
        <f t="shared" si="10"/>
        <v>0</v>
      </c>
      <c r="AI31" s="509">
        <f>IF(SUM(AH31:AH$99)=0,0,F31&gt;0)</f>
        <v>0</v>
      </c>
      <c r="AJ31" s="508">
        <f t="shared" si="11"/>
        <v>0</v>
      </c>
      <c r="AK31" s="509">
        <f>IF(SUM(AH31:AH$99)=0,0,AND(AI31=FALSE,AJ31=0,SUM(AJ31:AJ$99)&gt;0))</f>
        <v>0</v>
      </c>
      <c r="AL31" s="509">
        <f t="shared" si="84"/>
        <v>0</v>
      </c>
      <c r="AM31" s="509">
        <f t="shared" si="13"/>
        <v>0</v>
      </c>
      <c r="AN31" s="510">
        <f t="shared" si="14"/>
        <v>0</v>
      </c>
      <c r="AO31" s="510">
        <f t="shared" si="15"/>
        <v>0</v>
      </c>
      <c r="AP31" s="486">
        <f t="shared" si="16"/>
        <v>0</v>
      </c>
      <c r="AQ31" s="486">
        <f t="shared" si="85"/>
        <v>0</v>
      </c>
      <c r="AR31" s="509">
        <f t="shared" si="17"/>
        <v>0</v>
      </c>
      <c r="AS31" s="509" t="str">
        <f t="shared" si="86"/>
        <v/>
      </c>
      <c r="AT31" s="509">
        <f t="shared" si="18"/>
        <v>0</v>
      </c>
      <c r="AU31" s="485">
        <f t="shared" si="87"/>
        <v>0</v>
      </c>
      <c r="AV31" s="509">
        <f t="shared" si="19"/>
        <v>0</v>
      </c>
      <c r="AW31" s="509">
        <f t="shared" si="20"/>
        <v>0</v>
      </c>
      <c r="AX31" s="509">
        <f t="shared" si="21"/>
        <v>0</v>
      </c>
      <c r="AY31" s="484">
        <f t="shared" si="88"/>
        <v>0</v>
      </c>
      <c r="AZ31" s="509">
        <f t="shared" si="22"/>
        <v>0</v>
      </c>
      <c r="BA31" s="483">
        <f t="shared" si="89"/>
        <v>0</v>
      </c>
      <c r="BB31" s="487" t="str">
        <f t="shared" si="90"/>
        <v/>
      </c>
      <c r="BC31" s="487" t="str">
        <f t="shared" si="91"/>
        <v/>
      </c>
      <c r="BD31" s="509">
        <f t="shared" si="23"/>
        <v>0</v>
      </c>
      <c r="BE31" s="509">
        <f t="shared" si="24"/>
        <v>0</v>
      </c>
      <c r="BF31" s="509">
        <f t="shared" si="25"/>
        <v>0</v>
      </c>
      <c r="BG31" s="511" t="b">
        <f t="shared" si="26"/>
        <v>0</v>
      </c>
      <c r="BH31" s="488" t="str">
        <f t="shared" si="27"/>
        <v/>
      </c>
      <c r="BI31" s="512">
        <f t="shared" si="28"/>
        <v>0</v>
      </c>
      <c r="BJ31" s="513">
        <f t="shared" si="29"/>
        <v>0</v>
      </c>
      <c r="BK31" s="513">
        <f t="shared" si="92"/>
        <v>0</v>
      </c>
      <c r="BL31" s="515">
        <f t="shared" si="30"/>
        <v>0</v>
      </c>
      <c r="BM31" s="514">
        <f t="shared" si="31"/>
        <v>0</v>
      </c>
      <c r="BN31" s="490">
        <f t="shared" si="32"/>
        <v>0</v>
      </c>
      <c r="BO31" s="490">
        <f t="shared" si="33"/>
        <v>0</v>
      </c>
      <c r="BP31" s="513">
        <f t="shared" si="93"/>
        <v>0</v>
      </c>
      <c r="BQ31" s="493">
        <f t="shared" si="34"/>
        <v>0</v>
      </c>
      <c r="BR31" s="458" t="e">
        <f t="shared" si="35"/>
        <v>#DIV/0!</v>
      </c>
      <c r="BS31" s="512">
        <f t="shared" si="106"/>
        <v>0</v>
      </c>
      <c r="BT31" s="513">
        <f t="shared" si="107"/>
        <v>0</v>
      </c>
      <c r="BU31" s="513">
        <f t="shared" si="108"/>
        <v>0</v>
      </c>
      <c r="BV31" s="491">
        <f t="shared" si="109"/>
        <v>0</v>
      </c>
      <c r="BW31" s="489">
        <f t="shared" si="37"/>
        <v>0</v>
      </c>
      <c r="BX31" s="490">
        <f t="shared" si="38"/>
        <v>0</v>
      </c>
      <c r="BY31" s="513">
        <f t="shared" si="97"/>
        <v>0</v>
      </c>
      <c r="BZ31" s="490">
        <f t="shared" si="98"/>
        <v>0</v>
      </c>
      <c r="CA31" s="493">
        <f t="shared" si="39"/>
        <v>0</v>
      </c>
      <c r="CB31" s="494" t="e">
        <f t="shared" si="40"/>
        <v>#DIV/0!</v>
      </c>
      <c r="CC31" s="489" t="e">
        <f t="shared" si="41"/>
        <v>#DIV/0!</v>
      </c>
      <c r="CD31" s="490">
        <f t="shared" si="42"/>
        <v>0</v>
      </c>
      <c r="CE31" s="495">
        <f t="shared" si="99"/>
        <v>0</v>
      </c>
      <c r="CF31" s="495">
        <f t="shared" si="43"/>
        <v>0</v>
      </c>
      <c r="CG31" s="496" t="e">
        <f t="shared" si="44"/>
        <v>#DIV/0!</v>
      </c>
      <c r="CH31" s="496" t="e">
        <f t="shared" si="45"/>
        <v>#DIV/0!</v>
      </c>
      <c r="CI31" s="497" t="e">
        <f t="shared" si="100"/>
        <v>#DIV/0!</v>
      </c>
      <c r="CJ31" s="498" t="e">
        <f t="shared" si="46"/>
        <v>#DIV/0!</v>
      </c>
      <c r="CK31" s="382" t="e">
        <f t="shared" si="101"/>
        <v>#DIV/0!</v>
      </c>
      <c r="CL31" s="382" t="str">
        <f t="shared" si="47"/>
        <v/>
      </c>
      <c r="CM31" s="499" t="e">
        <f t="shared" si="102"/>
        <v>#DIV/0!</v>
      </c>
      <c r="CN31" s="500" t="e">
        <f t="shared" si="103"/>
        <v>#DIV/0!</v>
      </c>
      <c r="CO31" s="500">
        <f t="shared" si="104"/>
        <v>0</v>
      </c>
      <c r="CP31" s="382">
        <f t="shared" si="48"/>
        <v>1</v>
      </c>
      <c r="CQ31" s="382">
        <f t="shared" si="49"/>
        <v>1</v>
      </c>
      <c r="CR31" s="382" t="str">
        <f t="shared" si="50"/>
        <v/>
      </c>
      <c r="CS31" s="382">
        <f t="shared" si="51"/>
        <v>0</v>
      </c>
      <c r="CT31" s="501">
        <f t="shared" si="52"/>
        <v>0</v>
      </c>
      <c r="CU31" s="382" t="str">
        <f t="shared" si="53"/>
        <v>OK</v>
      </c>
      <c r="CV31" s="425">
        <f t="shared" si="54"/>
        <v>0.05</v>
      </c>
      <c r="CW31" s="501" t="e">
        <f t="shared" si="55"/>
        <v>#DIV/0!</v>
      </c>
      <c r="CX31" s="501" t="e">
        <f t="shared" si="56"/>
        <v>#DIV/0!</v>
      </c>
      <c r="CY31" s="501" t="e">
        <f t="shared" si="57"/>
        <v>#DIV/0!</v>
      </c>
      <c r="CZ31" s="501" t="e">
        <f t="shared" si="58"/>
        <v>#DIV/0!</v>
      </c>
      <c r="DA31" s="501">
        <f t="shared" si="59"/>
        <v>1</v>
      </c>
      <c r="DB31" s="501">
        <f t="shared" si="60"/>
        <v>0</v>
      </c>
      <c r="DC31" s="382" t="str">
        <f t="shared" si="61"/>
        <v>Soft</v>
      </c>
      <c r="DD31" s="382"/>
      <c r="DE31" s="382">
        <f t="shared" si="62"/>
        <v>0</v>
      </c>
      <c r="DF31" s="501" t="e">
        <f t="shared" si="63"/>
        <v>#DIV/0!</v>
      </c>
      <c r="DG31" s="501" t="e">
        <f t="shared" si="64"/>
        <v>#DIV/0!</v>
      </c>
      <c r="DH31" s="501" t="e">
        <f t="shared" si="65"/>
        <v>#DIV/0!</v>
      </c>
      <c r="DI31" s="501" t="e">
        <f t="shared" si="66"/>
        <v>#DIV/0!</v>
      </c>
      <c r="DJ31" s="501" t="e">
        <f t="shared" si="105"/>
        <v>#DIV/0!</v>
      </c>
      <c r="DK31" s="382"/>
      <c r="DL31" s="382"/>
      <c r="DM31" s="382"/>
      <c r="DN31" s="382">
        <f t="shared" si="67"/>
        <v>1</v>
      </c>
      <c r="DO31" s="501" t="e">
        <f t="shared" si="68"/>
        <v>#DIV/0!</v>
      </c>
      <c r="DP31" s="501" t="e">
        <f t="shared" si="69"/>
        <v>#DIV/0!</v>
      </c>
      <c r="DQ31" s="501" t="e">
        <f t="shared" si="70"/>
        <v>#DIV/0!</v>
      </c>
      <c r="DR31" s="501" t="e">
        <f t="shared" si="71"/>
        <v>#DIV/0!</v>
      </c>
      <c r="DS31" s="501" t="e">
        <f t="shared" si="72"/>
        <v>#DIV/0!</v>
      </c>
      <c r="DT31" s="501" t="e">
        <f t="shared" si="73"/>
        <v>#DIV/0!</v>
      </c>
      <c r="DU31" s="501">
        <f t="shared" si="74"/>
        <v>0</v>
      </c>
      <c r="DV31" s="382"/>
      <c r="DW31" s="382" t="b">
        <f t="shared" si="75"/>
        <v>1</v>
      </c>
      <c r="DX31" s="382" t="b">
        <f t="shared" si="76"/>
        <v>1</v>
      </c>
      <c r="DY31" s="382" t="b">
        <f t="shared" si="77"/>
        <v>1</v>
      </c>
      <c r="DZ31" s="382" t="b">
        <f t="shared" si="78"/>
        <v>1</v>
      </c>
      <c r="EA31" s="382" t="b">
        <f t="shared" si="79"/>
        <v>1</v>
      </c>
    </row>
    <row r="32" spans="1:131" s="517" customFormat="1" ht="18.649999999999999" customHeight="1" thickBot="1" x14ac:dyDescent="0.45">
      <c r="A32" s="391"/>
      <c r="B32" s="516">
        <f t="shared" si="80"/>
        <v>20</v>
      </c>
      <c r="C32" s="502">
        <v>13</v>
      </c>
      <c r="D32" s="792"/>
      <c r="E32" s="793"/>
      <c r="F32" s="544"/>
      <c r="G32" s="545"/>
      <c r="H32" s="546"/>
      <c r="I32" s="550"/>
      <c r="J32" s="551"/>
      <c r="K32" s="552"/>
      <c r="L32" s="552"/>
      <c r="M32" s="552"/>
      <c r="N32" s="553"/>
      <c r="O32" s="547"/>
      <c r="P32" s="548"/>
      <c r="Q32" s="549"/>
      <c r="R32" s="554"/>
      <c r="S32" s="503" t="str">
        <f t="shared" si="2"/>
        <v/>
      </c>
      <c r="T32" s="504" t="str">
        <f t="shared" si="3"/>
        <v/>
      </c>
      <c r="U32" s="505">
        <f t="shared" si="4"/>
        <v>0</v>
      </c>
      <c r="V32" s="480" t="str">
        <f t="shared" si="5"/>
        <v/>
      </c>
      <c r="W32" s="481" t="str">
        <f t="shared" si="6"/>
        <v/>
      </c>
      <c r="X32" s="506">
        <f t="shared" si="7"/>
        <v>0</v>
      </c>
      <c r="Y32" s="507" t="str">
        <f t="shared" si="8"/>
        <v/>
      </c>
      <c r="Z32" s="392"/>
      <c r="AA32" s="382"/>
      <c r="AB32" s="382">
        <v>13</v>
      </c>
      <c r="AC32" s="456">
        <f t="shared" si="9"/>
        <v>20</v>
      </c>
      <c r="AD32" s="456">
        <f t="shared" si="81"/>
        <v>0</v>
      </c>
      <c r="AE32" s="456">
        <f t="shared" si="82"/>
        <v>0</v>
      </c>
      <c r="AF32" s="456"/>
      <c r="AG32" s="482">
        <f t="shared" si="83"/>
        <v>0</v>
      </c>
      <c r="AH32" s="508">
        <f t="shared" si="10"/>
        <v>0</v>
      </c>
      <c r="AI32" s="509">
        <f>IF(SUM(AH32:AH$99)=0,0,F32&gt;0)</f>
        <v>0</v>
      </c>
      <c r="AJ32" s="508">
        <f t="shared" si="11"/>
        <v>0</v>
      </c>
      <c r="AK32" s="509">
        <f>IF(SUM(AH32:AH$99)=0,0,AND(AI32=FALSE,AJ32=0,SUM(AJ32:AJ$99)&gt;0))</f>
        <v>0</v>
      </c>
      <c r="AL32" s="509">
        <f t="shared" si="84"/>
        <v>0</v>
      </c>
      <c r="AM32" s="509">
        <f t="shared" si="13"/>
        <v>0</v>
      </c>
      <c r="AN32" s="510">
        <f t="shared" si="14"/>
        <v>0</v>
      </c>
      <c r="AO32" s="510">
        <f t="shared" si="15"/>
        <v>0</v>
      </c>
      <c r="AP32" s="486">
        <f t="shared" si="16"/>
        <v>0</v>
      </c>
      <c r="AQ32" s="486">
        <f t="shared" si="85"/>
        <v>0</v>
      </c>
      <c r="AR32" s="509">
        <f t="shared" si="17"/>
        <v>0</v>
      </c>
      <c r="AS32" s="509" t="str">
        <f t="shared" si="86"/>
        <v/>
      </c>
      <c r="AT32" s="509">
        <f t="shared" si="18"/>
        <v>0</v>
      </c>
      <c r="AU32" s="485">
        <f t="shared" si="87"/>
        <v>0</v>
      </c>
      <c r="AV32" s="509">
        <f t="shared" si="19"/>
        <v>0</v>
      </c>
      <c r="AW32" s="509">
        <f t="shared" si="20"/>
        <v>0</v>
      </c>
      <c r="AX32" s="509">
        <f t="shared" si="21"/>
        <v>0</v>
      </c>
      <c r="AY32" s="484">
        <f t="shared" si="88"/>
        <v>0</v>
      </c>
      <c r="AZ32" s="509">
        <f t="shared" si="22"/>
        <v>0</v>
      </c>
      <c r="BA32" s="483">
        <f t="shared" si="89"/>
        <v>0</v>
      </c>
      <c r="BB32" s="487" t="str">
        <f t="shared" si="90"/>
        <v/>
      </c>
      <c r="BC32" s="487" t="str">
        <f t="shared" si="91"/>
        <v/>
      </c>
      <c r="BD32" s="509">
        <f t="shared" si="23"/>
        <v>0</v>
      </c>
      <c r="BE32" s="509">
        <f t="shared" si="24"/>
        <v>0</v>
      </c>
      <c r="BF32" s="509">
        <f t="shared" si="25"/>
        <v>0</v>
      </c>
      <c r="BG32" s="511" t="b">
        <f t="shared" si="26"/>
        <v>0</v>
      </c>
      <c r="BH32" s="488" t="str">
        <f t="shared" si="27"/>
        <v/>
      </c>
      <c r="BI32" s="512">
        <f t="shared" si="28"/>
        <v>0</v>
      </c>
      <c r="BJ32" s="513">
        <f t="shared" si="29"/>
        <v>0</v>
      </c>
      <c r="BK32" s="513">
        <f t="shared" si="92"/>
        <v>0</v>
      </c>
      <c r="BL32" s="515">
        <f t="shared" si="30"/>
        <v>0</v>
      </c>
      <c r="BM32" s="514">
        <f t="shared" si="31"/>
        <v>0</v>
      </c>
      <c r="BN32" s="490">
        <f t="shared" si="32"/>
        <v>0</v>
      </c>
      <c r="BO32" s="490">
        <f t="shared" si="33"/>
        <v>0</v>
      </c>
      <c r="BP32" s="513">
        <f t="shared" si="93"/>
        <v>0</v>
      </c>
      <c r="BQ32" s="493">
        <f t="shared" si="34"/>
        <v>0</v>
      </c>
      <c r="BR32" s="458" t="e">
        <f t="shared" si="35"/>
        <v>#DIV/0!</v>
      </c>
      <c r="BS32" s="512">
        <f t="shared" si="106"/>
        <v>0</v>
      </c>
      <c r="BT32" s="513">
        <f t="shared" si="107"/>
        <v>0</v>
      </c>
      <c r="BU32" s="513">
        <f t="shared" si="108"/>
        <v>0</v>
      </c>
      <c r="BV32" s="491">
        <f t="shared" si="109"/>
        <v>0</v>
      </c>
      <c r="BW32" s="489">
        <f t="shared" si="37"/>
        <v>0</v>
      </c>
      <c r="BX32" s="490">
        <f t="shared" si="38"/>
        <v>0</v>
      </c>
      <c r="BY32" s="513">
        <f t="shared" si="97"/>
        <v>0</v>
      </c>
      <c r="BZ32" s="490">
        <f t="shared" si="98"/>
        <v>0</v>
      </c>
      <c r="CA32" s="493">
        <f t="shared" si="39"/>
        <v>0</v>
      </c>
      <c r="CB32" s="494" t="e">
        <f t="shared" si="40"/>
        <v>#DIV/0!</v>
      </c>
      <c r="CC32" s="489" t="e">
        <f t="shared" si="41"/>
        <v>#DIV/0!</v>
      </c>
      <c r="CD32" s="490">
        <f t="shared" si="42"/>
        <v>0</v>
      </c>
      <c r="CE32" s="495">
        <f t="shared" si="99"/>
        <v>0</v>
      </c>
      <c r="CF32" s="495">
        <f t="shared" si="43"/>
        <v>0</v>
      </c>
      <c r="CG32" s="496" t="e">
        <f t="shared" si="44"/>
        <v>#DIV/0!</v>
      </c>
      <c r="CH32" s="496" t="e">
        <f t="shared" si="45"/>
        <v>#DIV/0!</v>
      </c>
      <c r="CI32" s="497" t="e">
        <f t="shared" si="100"/>
        <v>#DIV/0!</v>
      </c>
      <c r="CJ32" s="498" t="e">
        <f t="shared" si="46"/>
        <v>#DIV/0!</v>
      </c>
      <c r="CK32" s="382" t="e">
        <f t="shared" si="101"/>
        <v>#DIV/0!</v>
      </c>
      <c r="CL32" s="382" t="str">
        <f t="shared" si="47"/>
        <v/>
      </c>
      <c r="CM32" s="499" t="e">
        <f t="shared" si="102"/>
        <v>#DIV/0!</v>
      </c>
      <c r="CN32" s="500" t="e">
        <f t="shared" si="103"/>
        <v>#DIV/0!</v>
      </c>
      <c r="CO32" s="500">
        <f t="shared" si="104"/>
        <v>0</v>
      </c>
      <c r="CP32" s="382">
        <f t="shared" si="48"/>
        <v>1</v>
      </c>
      <c r="CQ32" s="382">
        <f t="shared" si="49"/>
        <v>1</v>
      </c>
      <c r="CR32" s="382" t="str">
        <f t="shared" si="50"/>
        <v/>
      </c>
      <c r="CS32" s="382">
        <f t="shared" si="51"/>
        <v>0</v>
      </c>
      <c r="CT32" s="501">
        <f t="shared" si="52"/>
        <v>0</v>
      </c>
      <c r="CU32" s="382" t="str">
        <f t="shared" si="53"/>
        <v>OK</v>
      </c>
      <c r="CV32" s="425">
        <f t="shared" si="54"/>
        <v>0.05</v>
      </c>
      <c r="CW32" s="501" t="e">
        <f t="shared" si="55"/>
        <v>#DIV/0!</v>
      </c>
      <c r="CX32" s="501" t="e">
        <f t="shared" si="56"/>
        <v>#DIV/0!</v>
      </c>
      <c r="CY32" s="501" t="e">
        <f t="shared" si="57"/>
        <v>#DIV/0!</v>
      </c>
      <c r="CZ32" s="501" t="e">
        <f t="shared" si="58"/>
        <v>#DIV/0!</v>
      </c>
      <c r="DA32" s="501">
        <f t="shared" si="59"/>
        <v>1</v>
      </c>
      <c r="DB32" s="501">
        <f t="shared" si="60"/>
        <v>0</v>
      </c>
      <c r="DC32" s="382" t="str">
        <f t="shared" si="61"/>
        <v>Soft</v>
      </c>
      <c r="DD32" s="382"/>
      <c r="DE32" s="382">
        <f t="shared" si="62"/>
        <v>0</v>
      </c>
      <c r="DF32" s="501" t="e">
        <f t="shared" si="63"/>
        <v>#DIV/0!</v>
      </c>
      <c r="DG32" s="501" t="e">
        <f t="shared" si="64"/>
        <v>#DIV/0!</v>
      </c>
      <c r="DH32" s="501" t="e">
        <f t="shared" si="65"/>
        <v>#DIV/0!</v>
      </c>
      <c r="DI32" s="501" t="e">
        <f t="shared" si="66"/>
        <v>#DIV/0!</v>
      </c>
      <c r="DJ32" s="501" t="e">
        <f t="shared" si="105"/>
        <v>#DIV/0!</v>
      </c>
      <c r="DK32" s="382"/>
      <c r="DL32" s="382"/>
      <c r="DM32" s="382"/>
      <c r="DN32" s="382">
        <f t="shared" si="67"/>
        <v>1</v>
      </c>
      <c r="DO32" s="501" t="e">
        <f t="shared" si="68"/>
        <v>#DIV/0!</v>
      </c>
      <c r="DP32" s="501" t="e">
        <f t="shared" si="69"/>
        <v>#DIV/0!</v>
      </c>
      <c r="DQ32" s="501" t="e">
        <f t="shared" si="70"/>
        <v>#DIV/0!</v>
      </c>
      <c r="DR32" s="501" t="e">
        <f t="shared" si="71"/>
        <v>#DIV/0!</v>
      </c>
      <c r="DS32" s="501" t="e">
        <f t="shared" si="72"/>
        <v>#DIV/0!</v>
      </c>
      <c r="DT32" s="501" t="e">
        <f t="shared" si="73"/>
        <v>#DIV/0!</v>
      </c>
      <c r="DU32" s="501">
        <f t="shared" si="74"/>
        <v>0</v>
      </c>
      <c r="DV32" s="382"/>
      <c r="DW32" s="382" t="b">
        <f t="shared" si="75"/>
        <v>1</v>
      </c>
      <c r="DX32" s="382" t="b">
        <f t="shared" si="76"/>
        <v>1</v>
      </c>
      <c r="DY32" s="382" t="b">
        <f t="shared" si="77"/>
        <v>1</v>
      </c>
      <c r="DZ32" s="382" t="b">
        <f t="shared" si="78"/>
        <v>1</v>
      </c>
      <c r="EA32" s="382" t="b">
        <f t="shared" si="79"/>
        <v>1</v>
      </c>
    </row>
    <row r="33" spans="1:132" s="517" customFormat="1" ht="18.649999999999999" customHeight="1" thickBot="1" x14ac:dyDescent="0.45">
      <c r="A33" s="391"/>
      <c r="B33" s="516">
        <f t="shared" si="80"/>
        <v>20</v>
      </c>
      <c r="C33" s="502">
        <v>14</v>
      </c>
      <c r="D33" s="792"/>
      <c r="E33" s="793"/>
      <c r="F33" s="544"/>
      <c r="G33" s="545"/>
      <c r="H33" s="546"/>
      <c r="I33" s="550"/>
      <c r="J33" s="551"/>
      <c r="K33" s="552"/>
      <c r="L33" s="552"/>
      <c r="M33" s="552"/>
      <c r="N33" s="553"/>
      <c r="O33" s="547"/>
      <c r="P33" s="548"/>
      <c r="Q33" s="549"/>
      <c r="R33" s="554"/>
      <c r="S33" s="503" t="str">
        <f t="shared" si="2"/>
        <v/>
      </c>
      <c r="T33" s="504" t="str">
        <f t="shared" si="3"/>
        <v/>
      </c>
      <c r="U33" s="505">
        <f t="shared" si="4"/>
        <v>0</v>
      </c>
      <c r="V33" s="480" t="str">
        <f t="shared" si="5"/>
        <v/>
      </c>
      <c r="W33" s="481" t="str">
        <f t="shared" si="6"/>
        <v/>
      </c>
      <c r="X33" s="506">
        <f t="shared" si="7"/>
        <v>0</v>
      </c>
      <c r="Y33" s="507" t="str">
        <f t="shared" si="8"/>
        <v/>
      </c>
      <c r="Z33" s="392"/>
      <c r="AA33" s="382"/>
      <c r="AB33" s="382">
        <v>14</v>
      </c>
      <c r="AC33" s="456">
        <f t="shared" si="9"/>
        <v>20</v>
      </c>
      <c r="AD33" s="456">
        <f t="shared" si="81"/>
        <v>0</v>
      </c>
      <c r="AE33" s="456">
        <f t="shared" si="82"/>
        <v>0</v>
      </c>
      <c r="AF33" s="456"/>
      <c r="AG33" s="482">
        <f t="shared" si="83"/>
        <v>0</v>
      </c>
      <c r="AH33" s="508">
        <f t="shared" si="10"/>
        <v>0</v>
      </c>
      <c r="AI33" s="509">
        <f>IF(SUM(AH33:AH$99)=0,0,F33&gt;0)</f>
        <v>0</v>
      </c>
      <c r="AJ33" s="508">
        <f t="shared" si="11"/>
        <v>0</v>
      </c>
      <c r="AK33" s="509">
        <f>IF(SUM(AH33:AH$99)=0,0,AND(AI33=FALSE,AJ33=0,SUM(AJ33:AJ$99)&gt;0))</f>
        <v>0</v>
      </c>
      <c r="AL33" s="509">
        <f t="shared" si="84"/>
        <v>0</v>
      </c>
      <c r="AM33" s="509">
        <f t="shared" si="13"/>
        <v>0</v>
      </c>
      <c r="AN33" s="510">
        <f t="shared" si="14"/>
        <v>0</v>
      </c>
      <c r="AO33" s="510">
        <f t="shared" si="15"/>
        <v>0</v>
      </c>
      <c r="AP33" s="486">
        <f t="shared" si="16"/>
        <v>0</v>
      </c>
      <c r="AQ33" s="486">
        <f t="shared" si="85"/>
        <v>0</v>
      </c>
      <c r="AR33" s="509">
        <f t="shared" si="17"/>
        <v>0</v>
      </c>
      <c r="AS33" s="509" t="str">
        <f t="shared" si="86"/>
        <v/>
      </c>
      <c r="AT33" s="509">
        <f t="shared" si="18"/>
        <v>0</v>
      </c>
      <c r="AU33" s="485">
        <f t="shared" si="87"/>
        <v>0</v>
      </c>
      <c r="AV33" s="509">
        <f t="shared" si="19"/>
        <v>0</v>
      </c>
      <c r="AW33" s="509">
        <f t="shared" si="20"/>
        <v>0</v>
      </c>
      <c r="AX33" s="509">
        <f t="shared" si="21"/>
        <v>0</v>
      </c>
      <c r="AY33" s="484">
        <f t="shared" si="88"/>
        <v>0</v>
      </c>
      <c r="AZ33" s="509">
        <f t="shared" si="22"/>
        <v>0</v>
      </c>
      <c r="BA33" s="483">
        <f t="shared" si="89"/>
        <v>0</v>
      </c>
      <c r="BB33" s="487" t="str">
        <f t="shared" si="90"/>
        <v/>
      </c>
      <c r="BC33" s="487" t="str">
        <f t="shared" si="91"/>
        <v/>
      </c>
      <c r="BD33" s="509">
        <f t="shared" si="23"/>
        <v>0</v>
      </c>
      <c r="BE33" s="509">
        <f t="shared" si="24"/>
        <v>0</v>
      </c>
      <c r="BF33" s="509">
        <f t="shared" si="25"/>
        <v>0</v>
      </c>
      <c r="BG33" s="511" t="b">
        <f t="shared" si="26"/>
        <v>0</v>
      </c>
      <c r="BH33" s="488" t="str">
        <f t="shared" si="27"/>
        <v/>
      </c>
      <c r="BI33" s="512">
        <f t="shared" si="28"/>
        <v>0</v>
      </c>
      <c r="BJ33" s="513">
        <f t="shared" si="29"/>
        <v>0</v>
      </c>
      <c r="BK33" s="513">
        <f t="shared" si="92"/>
        <v>0</v>
      </c>
      <c r="BL33" s="515">
        <f t="shared" si="30"/>
        <v>0</v>
      </c>
      <c r="BM33" s="514">
        <f t="shared" si="31"/>
        <v>0</v>
      </c>
      <c r="BN33" s="490">
        <f t="shared" si="32"/>
        <v>0</v>
      </c>
      <c r="BO33" s="490">
        <f t="shared" si="33"/>
        <v>0</v>
      </c>
      <c r="BP33" s="513">
        <f t="shared" si="93"/>
        <v>0</v>
      </c>
      <c r="BQ33" s="493">
        <f t="shared" si="34"/>
        <v>0</v>
      </c>
      <c r="BR33" s="458" t="e">
        <f t="shared" si="35"/>
        <v>#DIV/0!</v>
      </c>
      <c r="BS33" s="512">
        <f t="shared" si="106"/>
        <v>0</v>
      </c>
      <c r="BT33" s="513">
        <f t="shared" si="107"/>
        <v>0</v>
      </c>
      <c r="BU33" s="513">
        <f t="shared" si="108"/>
        <v>0</v>
      </c>
      <c r="BV33" s="491">
        <f t="shared" si="109"/>
        <v>0</v>
      </c>
      <c r="BW33" s="489">
        <f t="shared" si="37"/>
        <v>0</v>
      </c>
      <c r="BX33" s="490">
        <f t="shared" si="38"/>
        <v>0</v>
      </c>
      <c r="BY33" s="513">
        <f t="shared" si="97"/>
        <v>0</v>
      </c>
      <c r="BZ33" s="490">
        <f t="shared" si="98"/>
        <v>0</v>
      </c>
      <c r="CA33" s="493">
        <f t="shared" si="39"/>
        <v>0</v>
      </c>
      <c r="CB33" s="494" t="e">
        <f t="shared" si="40"/>
        <v>#DIV/0!</v>
      </c>
      <c r="CC33" s="489" t="e">
        <f t="shared" si="41"/>
        <v>#DIV/0!</v>
      </c>
      <c r="CD33" s="490">
        <f t="shared" si="42"/>
        <v>0</v>
      </c>
      <c r="CE33" s="495">
        <f t="shared" si="99"/>
        <v>0</v>
      </c>
      <c r="CF33" s="495">
        <f t="shared" si="43"/>
        <v>0</v>
      </c>
      <c r="CG33" s="496" t="e">
        <f t="shared" si="44"/>
        <v>#DIV/0!</v>
      </c>
      <c r="CH33" s="496" t="e">
        <f t="shared" si="45"/>
        <v>#DIV/0!</v>
      </c>
      <c r="CI33" s="497" t="e">
        <f t="shared" si="100"/>
        <v>#DIV/0!</v>
      </c>
      <c r="CJ33" s="498" t="e">
        <f t="shared" si="46"/>
        <v>#DIV/0!</v>
      </c>
      <c r="CK33" s="382" t="e">
        <f t="shared" si="101"/>
        <v>#DIV/0!</v>
      </c>
      <c r="CL33" s="382" t="str">
        <f t="shared" si="47"/>
        <v/>
      </c>
      <c r="CM33" s="499" t="e">
        <f t="shared" si="102"/>
        <v>#DIV/0!</v>
      </c>
      <c r="CN33" s="500" t="e">
        <f t="shared" si="103"/>
        <v>#DIV/0!</v>
      </c>
      <c r="CO33" s="500">
        <f t="shared" si="104"/>
        <v>0</v>
      </c>
      <c r="CP33" s="382">
        <f t="shared" si="48"/>
        <v>1</v>
      </c>
      <c r="CQ33" s="382">
        <f t="shared" si="49"/>
        <v>1</v>
      </c>
      <c r="CR33" s="382" t="str">
        <f t="shared" si="50"/>
        <v/>
      </c>
      <c r="CS33" s="382">
        <f t="shared" si="51"/>
        <v>0</v>
      </c>
      <c r="CT33" s="501">
        <f t="shared" si="52"/>
        <v>0</v>
      </c>
      <c r="CU33" s="382" t="str">
        <f t="shared" si="53"/>
        <v>OK</v>
      </c>
      <c r="CV33" s="425">
        <f t="shared" si="54"/>
        <v>0.05</v>
      </c>
      <c r="CW33" s="501" t="e">
        <f t="shared" si="55"/>
        <v>#DIV/0!</v>
      </c>
      <c r="CX33" s="501" t="e">
        <f t="shared" si="56"/>
        <v>#DIV/0!</v>
      </c>
      <c r="CY33" s="501" t="e">
        <f t="shared" si="57"/>
        <v>#DIV/0!</v>
      </c>
      <c r="CZ33" s="501" t="e">
        <f t="shared" si="58"/>
        <v>#DIV/0!</v>
      </c>
      <c r="DA33" s="501">
        <f t="shared" si="59"/>
        <v>1</v>
      </c>
      <c r="DB33" s="501">
        <f t="shared" si="60"/>
        <v>0</v>
      </c>
      <c r="DC33" s="382" t="str">
        <f t="shared" si="61"/>
        <v>Soft</v>
      </c>
      <c r="DD33" s="382"/>
      <c r="DE33" s="382">
        <f t="shared" si="62"/>
        <v>0</v>
      </c>
      <c r="DF33" s="501" t="e">
        <f t="shared" si="63"/>
        <v>#DIV/0!</v>
      </c>
      <c r="DG33" s="501" t="e">
        <f t="shared" si="64"/>
        <v>#DIV/0!</v>
      </c>
      <c r="DH33" s="501" t="e">
        <f t="shared" si="65"/>
        <v>#DIV/0!</v>
      </c>
      <c r="DI33" s="501" t="e">
        <f t="shared" si="66"/>
        <v>#DIV/0!</v>
      </c>
      <c r="DJ33" s="501" t="e">
        <f t="shared" si="105"/>
        <v>#DIV/0!</v>
      </c>
      <c r="DK33" s="382"/>
      <c r="DL33" s="382"/>
      <c r="DM33" s="382"/>
      <c r="DN33" s="382">
        <f t="shared" si="67"/>
        <v>1</v>
      </c>
      <c r="DO33" s="501" t="e">
        <f t="shared" si="68"/>
        <v>#DIV/0!</v>
      </c>
      <c r="DP33" s="501" t="e">
        <f t="shared" si="69"/>
        <v>#DIV/0!</v>
      </c>
      <c r="DQ33" s="501" t="e">
        <f t="shared" si="70"/>
        <v>#DIV/0!</v>
      </c>
      <c r="DR33" s="501" t="e">
        <f t="shared" si="71"/>
        <v>#DIV/0!</v>
      </c>
      <c r="DS33" s="501" t="e">
        <f t="shared" si="72"/>
        <v>#DIV/0!</v>
      </c>
      <c r="DT33" s="501" t="e">
        <f t="shared" si="73"/>
        <v>#DIV/0!</v>
      </c>
      <c r="DU33" s="501">
        <f t="shared" si="74"/>
        <v>0</v>
      </c>
      <c r="DV33" s="382"/>
      <c r="DW33" s="382" t="b">
        <f t="shared" si="75"/>
        <v>1</v>
      </c>
      <c r="DX33" s="382" t="b">
        <f t="shared" si="76"/>
        <v>1</v>
      </c>
      <c r="DY33" s="382" t="b">
        <f t="shared" si="77"/>
        <v>1</v>
      </c>
      <c r="DZ33" s="382" t="b">
        <f t="shared" si="78"/>
        <v>1</v>
      </c>
      <c r="EA33" s="382" t="b">
        <f t="shared" si="79"/>
        <v>1</v>
      </c>
    </row>
    <row r="34" spans="1:132" s="517" customFormat="1" ht="18.649999999999999" customHeight="1" thickBot="1" x14ac:dyDescent="0.45">
      <c r="A34" s="391"/>
      <c r="B34" s="516">
        <f t="shared" si="80"/>
        <v>20</v>
      </c>
      <c r="C34" s="502">
        <v>15</v>
      </c>
      <c r="D34" s="792"/>
      <c r="E34" s="793"/>
      <c r="F34" s="544"/>
      <c r="G34" s="545"/>
      <c r="H34" s="546"/>
      <c r="I34" s="550"/>
      <c r="J34" s="551"/>
      <c r="K34" s="552"/>
      <c r="L34" s="552"/>
      <c r="M34" s="552"/>
      <c r="N34" s="553"/>
      <c r="O34" s="547"/>
      <c r="P34" s="548"/>
      <c r="Q34" s="549"/>
      <c r="R34" s="554"/>
      <c r="S34" s="503" t="str">
        <f t="shared" si="2"/>
        <v/>
      </c>
      <c r="T34" s="504" t="str">
        <f t="shared" si="3"/>
        <v/>
      </c>
      <c r="U34" s="505">
        <f t="shared" si="4"/>
        <v>0</v>
      </c>
      <c r="V34" s="480" t="str">
        <f t="shared" si="5"/>
        <v/>
      </c>
      <c r="W34" s="481" t="str">
        <f t="shared" si="6"/>
        <v/>
      </c>
      <c r="X34" s="506">
        <f t="shared" si="7"/>
        <v>0</v>
      </c>
      <c r="Y34" s="507" t="str">
        <f t="shared" si="8"/>
        <v/>
      </c>
      <c r="Z34" s="392"/>
      <c r="AA34" s="382"/>
      <c r="AB34" s="382">
        <v>15</v>
      </c>
      <c r="AC34" s="456">
        <f t="shared" si="9"/>
        <v>20</v>
      </c>
      <c r="AD34" s="456">
        <f t="shared" si="81"/>
        <v>0</v>
      </c>
      <c r="AE34" s="456">
        <f t="shared" si="82"/>
        <v>0</v>
      </c>
      <c r="AF34" s="456"/>
      <c r="AG34" s="482">
        <f t="shared" si="83"/>
        <v>0</v>
      </c>
      <c r="AH34" s="508">
        <f t="shared" si="10"/>
        <v>0</v>
      </c>
      <c r="AI34" s="509">
        <f>IF(SUM(AH34:AH$99)=0,0,F34&gt;0)</f>
        <v>0</v>
      </c>
      <c r="AJ34" s="508">
        <f t="shared" si="11"/>
        <v>0</v>
      </c>
      <c r="AK34" s="509">
        <f>IF(SUM(AH34:AH$99)=0,0,AND(AI34=FALSE,AJ34=0,SUM(AJ34:AJ$99)&gt;0))</f>
        <v>0</v>
      </c>
      <c r="AL34" s="509">
        <f t="shared" si="84"/>
        <v>0</v>
      </c>
      <c r="AM34" s="509">
        <f t="shared" si="13"/>
        <v>0</v>
      </c>
      <c r="AN34" s="510">
        <f t="shared" si="14"/>
        <v>0</v>
      </c>
      <c r="AO34" s="510">
        <f t="shared" si="15"/>
        <v>0</v>
      </c>
      <c r="AP34" s="486">
        <f t="shared" si="16"/>
        <v>0</v>
      </c>
      <c r="AQ34" s="486">
        <f t="shared" si="85"/>
        <v>0</v>
      </c>
      <c r="AR34" s="509">
        <f t="shared" si="17"/>
        <v>0</v>
      </c>
      <c r="AS34" s="509" t="str">
        <f t="shared" si="86"/>
        <v/>
      </c>
      <c r="AT34" s="509">
        <f t="shared" si="18"/>
        <v>0</v>
      </c>
      <c r="AU34" s="485">
        <f t="shared" si="87"/>
        <v>0</v>
      </c>
      <c r="AV34" s="509">
        <f t="shared" si="19"/>
        <v>0</v>
      </c>
      <c r="AW34" s="509">
        <f t="shared" si="20"/>
        <v>0</v>
      </c>
      <c r="AX34" s="509">
        <f t="shared" si="21"/>
        <v>0</v>
      </c>
      <c r="AY34" s="484">
        <f t="shared" si="88"/>
        <v>0</v>
      </c>
      <c r="AZ34" s="509">
        <f t="shared" si="22"/>
        <v>0</v>
      </c>
      <c r="BA34" s="483">
        <f t="shared" si="89"/>
        <v>0</v>
      </c>
      <c r="BB34" s="487" t="str">
        <f t="shared" si="90"/>
        <v/>
      </c>
      <c r="BC34" s="487" t="str">
        <f t="shared" si="91"/>
        <v/>
      </c>
      <c r="BD34" s="509">
        <f t="shared" si="23"/>
        <v>0</v>
      </c>
      <c r="BE34" s="509">
        <f t="shared" si="24"/>
        <v>0</v>
      </c>
      <c r="BF34" s="509">
        <f t="shared" si="25"/>
        <v>0</v>
      </c>
      <c r="BG34" s="511" t="b">
        <f t="shared" si="26"/>
        <v>0</v>
      </c>
      <c r="BH34" s="488" t="str">
        <f t="shared" si="27"/>
        <v/>
      </c>
      <c r="BI34" s="512">
        <f t="shared" si="28"/>
        <v>0</v>
      </c>
      <c r="BJ34" s="513">
        <f t="shared" si="29"/>
        <v>0</v>
      </c>
      <c r="BK34" s="513">
        <f t="shared" si="92"/>
        <v>0</v>
      </c>
      <c r="BL34" s="515">
        <f t="shared" si="30"/>
        <v>0</v>
      </c>
      <c r="BM34" s="514">
        <f t="shared" si="31"/>
        <v>0</v>
      </c>
      <c r="BN34" s="490">
        <f t="shared" si="32"/>
        <v>0</v>
      </c>
      <c r="BO34" s="490">
        <f t="shared" si="33"/>
        <v>0</v>
      </c>
      <c r="BP34" s="513">
        <f t="shared" si="93"/>
        <v>0</v>
      </c>
      <c r="BQ34" s="493">
        <f t="shared" si="34"/>
        <v>0</v>
      </c>
      <c r="BR34" s="458" t="e">
        <f t="shared" si="35"/>
        <v>#DIV/0!</v>
      </c>
      <c r="BS34" s="512">
        <f t="shared" si="106"/>
        <v>0</v>
      </c>
      <c r="BT34" s="513">
        <f t="shared" si="107"/>
        <v>0</v>
      </c>
      <c r="BU34" s="513">
        <f t="shared" si="108"/>
        <v>0</v>
      </c>
      <c r="BV34" s="491">
        <f t="shared" si="109"/>
        <v>0</v>
      </c>
      <c r="BW34" s="489">
        <f t="shared" si="37"/>
        <v>0</v>
      </c>
      <c r="BX34" s="490">
        <f t="shared" si="38"/>
        <v>0</v>
      </c>
      <c r="BY34" s="513">
        <f t="shared" si="97"/>
        <v>0</v>
      </c>
      <c r="BZ34" s="490">
        <f t="shared" si="98"/>
        <v>0</v>
      </c>
      <c r="CA34" s="493">
        <f t="shared" si="39"/>
        <v>0</v>
      </c>
      <c r="CB34" s="494" t="e">
        <f t="shared" si="40"/>
        <v>#DIV/0!</v>
      </c>
      <c r="CC34" s="489" t="e">
        <f t="shared" si="41"/>
        <v>#DIV/0!</v>
      </c>
      <c r="CD34" s="490">
        <f t="shared" si="42"/>
        <v>0</v>
      </c>
      <c r="CE34" s="495">
        <f t="shared" si="99"/>
        <v>0</v>
      </c>
      <c r="CF34" s="495">
        <f t="shared" si="43"/>
        <v>0</v>
      </c>
      <c r="CG34" s="496" t="e">
        <f t="shared" si="44"/>
        <v>#DIV/0!</v>
      </c>
      <c r="CH34" s="496" t="e">
        <f t="shared" si="45"/>
        <v>#DIV/0!</v>
      </c>
      <c r="CI34" s="497" t="e">
        <f t="shared" si="100"/>
        <v>#DIV/0!</v>
      </c>
      <c r="CJ34" s="498" t="e">
        <f t="shared" si="46"/>
        <v>#DIV/0!</v>
      </c>
      <c r="CK34" s="382" t="e">
        <f t="shared" si="101"/>
        <v>#DIV/0!</v>
      </c>
      <c r="CL34" s="382" t="str">
        <f t="shared" si="47"/>
        <v/>
      </c>
      <c r="CM34" s="499" t="e">
        <f t="shared" si="102"/>
        <v>#DIV/0!</v>
      </c>
      <c r="CN34" s="500" t="e">
        <f t="shared" si="103"/>
        <v>#DIV/0!</v>
      </c>
      <c r="CO34" s="500">
        <f t="shared" si="104"/>
        <v>0</v>
      </c>
      <c r="CP34" s="382">
        <f t="shared" si="48"/>
        <v>1</v>
      </c>
      <c r="CQ34" s="382">
        <f t="shared" si="49"/>
        <v>1</v>
      </c>
      <c r="CR34" s="382" t="str">
        <f t="shared" si="50"/>
        <v/>
      </c>
      <c r="CS34" s="382">
        <f t="shared" si="51"/>
        <v>0</v>
      </c>
      <c r="CT34" s="501">
        <f t="shared" si="52"/>
        <v>0</v>
      </c>
      <c r="CU34" s="382" t="str">
        <f t="shared" si="53"/>
        <v>OK</v>
      </c>
      <c r="CV34" s="425">
        <f t="shared" si="54"/>
        <v>0.05</v>
      </c>
      <c r="CW34" s="501" t="e">
        <f t="shared" si="55"/>
        <v>#DIV/0!</v>
      </c>
      <c r="CX34" s="501" t="e">
        <f t="shared" si="56"/>
        <v>#DIV/0!</v>
      </c>
      <c r="CY34" s="501" t="e">
        <f t="shared" si="57"/>
        <v>#DIV/0!</v>
      </c>
      <c r="CZ34" s="501" t="e">
        <f t="shared" si="58"/>
        <v>#DIV/0!</v>
      </c>
      <c r="DA34" s="501">
        <f t="shared" si="59"/>
        <v>1</v>
      </c>
      <c r="DB34" s="501">
        <f t="shared" si="60"/>
        <v>0</v>
      </c>
      <c r="DC34" s="382" t="str">
        <f t="shared" si="61"/>
        <v>Soft</v>
      </c>
      <c r="DD34" s="382"/>
      <c r="DE34" s="382">
        <f t="shared" si="62"/>
        <v>0</v>
      </c>
      <c r="DF34" s="501" t="e">
        <f t="shared" si="63"/>
        <v>#DIV/0!</v>
      </c>
      <c r="DG34" s="501" t="e">
        <f t="shared" si="64"/>
        <v>#DIV/0!</v>
      </c>
      <c r="DH34" s="501" t="e">
        <f t="shared" si="65"/>
        <v>#DIV/0!</v>
      </c>
      <c r="DI34" s="501" t="e">
        <f t="shared" si="66"/>
        <v>#DIV/0!</v>
      </c>
      <c r="DJ34" s="501" t="e">
        <f t="shared" si="105"/>
        <v>#DIV/0!</v>
      </c>
      <c r="DK34" s="382"/>
      <c r="DL34" s="382"/>
      <c r="DM34" s="382"/>
      <c r="DN34" s="382">
        <f t="shared" si="67"/>
        <v>1</v>
      </c>
      <c r="DO34" s="501" t="e">
        <f t="shared" si="68"/>
        <v>#DIV/0!</v>
      </c>
      <c r="DP34" s="501" t="e">
        <f t="shared" si="69"/>
        <v>#DIV/0!</v>
      </c>
      <c r="DQ34" s="501" t="e">
        <f t="shared" si="70"/>
        <v>#DIV/0!</v>
      </c>
      <c r="DR34" s="501" t="e">
        <f t="shared" si="71"/>
        <v>#DIV/0!</v>
      </c>
      <c r="DS34" s="501" t="e">
        <f t="shared" si="72"/>
        <v>#DIV/0!</v>
      </c>
      <c r="DT34" s="501" t="e">
        <f t="shared" si="73"/>
        <v>#DIV/0!</v>
      </c>
      <c r="DU34" s="501">
        <f t="shared" si="74"/>
        <v>0</v>
      </c>
      <c r="DV34" s="382"/>
      <c r="DW34" s="382" t="b">
        <f t="shared" si="75"/>
        <v>1</v>
      </c>
      <c r="DX34" s="382" t="b">
        <f t="shared" si="76"/>
        <v>1</v>
      </c>
      <c r="DY34" s="382" t="b">
        <f t="shared" si="77"/>
        <v>1</v>
      </c>
      <c r="DZ34" s="382" t="b">
        <f t="shared" si="78"/>
        <v>1</v>
      </c>
      <c r="EA34" s="382" t="b">
        <f t="shared" si="79"/>
        <v>1</v>
      </c>
    </row>
    <row r="35" spans="1:132" s="108" customFormat="1" ht="18.5" thickBot="1" x14ac:dyDescent="0.45">
      <c r="A35" s="109"/>
      <c r="B35" s="88">
        <f t="shared" si="80"/>
        <v>20</v>
      </c>
      <c r="C35" s="118">
        <v>16</v>
      </c>
      <c r="D35" s="792"/>
      <c r="E35" s="793"/>
      <c r="F35" s="555"/>
      <c r="G35" s="556"/>
      <c r="H35" s="557"/>
      <c r="I35" s="558"/>
      <c r="J35" s="559"/>
      <c r="K35" s="560"/>
      <c r="L35" s="560"/>
      <c r="M35" s="560"/>
      <c r="N35" s="561"/>
      <c r="O35" s="562"/>
      <c r="P35" s="563"/>
      <c r="Q35" s="564"/>
      <c r="R35" s="565"/>
      <c r="S35" s="112" t="str">
        <f t="shared" si="2"/>
        <v/>
      </c>
      <c r="T35" s="113" t="str">
        <f t="shared" si="3"/>
        <v/>
      </c>
      <c r="U35" s="114">
        <f t="shared" si="4"/>
        <v>0</v>
      </c>
      <c r="V35" s="117" t="str">
        <f t="shared" si="5"/>
        <v/>
      </c>
      <c r="W35" s="234" t="str">
        <f t="shared" si="6"/>
        <v/>
      </c>
      <c r="X35" s="115">
        <f t="shared" si="7"/>
        <v>0</v>
      </c>
      <c r="Y35" s="116" t="str">
        <f t="shared" si="8"/>
        <v/>
      </c>
      <c r="Z35" s="111"/>
      <c r="AA35" s="2"/>
      <c r="AB35" s="2">
        <v>16</v>
      </c>
      <c r="AC35" s="22">
        <f t="shared" si="9"/>
        <v>20</v>
      </c>
      <c r="AD35" s="22">
        <f t="shared" si="81"/>
        <v>0</v>
      </c>
      <c r="AE35" s="22">
        <f t="shared" si="82"/>
        <v>0</v>
      </c>
      <c r="AF35" s="22"/>
      <c r="AG35" s="21">
        <f t="shared" si="83"/>
        <v>0</v>
      </c>
      <c r="AH35" s="6">
        <f t="shared" si="10"/>
        <v>0</v>
      </c>
      <c r="AI35" s="7">
        <f>IF(SUM(AH35:AH$99)=0,0,F35&gt;0)</f>
        <v>0</v>
      </c>
      <c r="AJ35" s="6">
        <f t="shared" si="11"/>
        <v>0</v>
      </c>
      <c r="AK35" s="7">
        <f>IF(SUM(AH35:AH$99)=0,0,AND(AI35=FALSE,AJ35=0,SUM(AJ35:AJ$99)&gt;0))</f>
        <v>0</v>
      </c>
      <c r="AL35" s="7">
        <f t="shared" si="84"/>
        <v>0</v>
      </c>
      <c r="AM35" s="7">
        <f t="shared" si="13"/>
        <v>0</v>
      </c>
      <c r="AN35" s="9">
        <f t="shared" si="14"/>
        <v>0</v>
      </c>
      <c r="AO35" s="9">
        <f t="shared" si="15"/>
        <v>0</v>
      </c>
      <c r="AP35" s="486">
        <f t="shared" si="16"/>
        <v>0</v>
      </c>
      <c r="AQ35" s="486">
        <f t="shared" si="85"/>
        <v>0</v>
      </c>
      <c r="AR35" s="7">
        <f t="shared" si="17"/>
        <v>0</v>
      </c>
      <c r="AS35" s="7" t="str">
        <f t="shared" si="86"/>
        <v/>
      </c>
      <c r="AT35" s="7">
        <f t="shared" si="18"/>
        <v>0</v>
      </c>
      <c r="AU35" s="485">
        <f t="shared" si="87"/>
        <v>0</v>
      </c>
      <c r="AV35" s="7">
        <f t="shared" si="19"/>
        <v>0</v>
      </c>
      <c r="AW35" s="7">
        <f t="shared" si="20"/>
        <v>0</v>
      </c>
      <c r="AX35" s="7">
        <f t="shared" si="21"/>
        <v>0</v>
      </c>
      <c r="AY35" s="484">
        <f t="shared" si="88"/>
        <v>0</v>
      </c>
      <c r="AZ35" s="7">
        <f t="shared" si="22"/>
        <v>0</v>
      </c>
      <c r="BA35" s="483">
        <f t="shared" si="89"/>
        <v>0</v>
      </c>
      <c r="BB35" s="487" t="str">
        <f t="shared" si="90"/>
        <v/>
      </c>
      <c r="BC35" s="487" t="str">
        <f t="shared" si="91"/>
        <v/>
      </c>
      <c r="BD35" s="7">
        <f t="shared" si="23"/>
        <v>0</v>
      </c>
      <c r="BE35" s="7">
        <f t="shared" si="24"/>
        <v>0</v>
      </c>
      <c r="BF35" s="7">
        <f t="shared" si="25"/>
        <v>0</v>
      </c>
      <c r="BG35" s="8" t="b">
        <f t="shared" si="26"/>
        <v>0</v>
      </c>
      <c r="BH35" s="235" t="str">
        <f t="shared" si="27"/>
        <v/>
      </c>
      <c r="BI35" s="75">
        <f t="shared" si="28"/>
        <v>0</v>
      </c>
      <c r="BJ35" s="15">
        <f t="shared" si="29"/>
        <v>0</v>
      </c>
      <c r="BK35" s="15">
        <f t="shared" si="92"/>
        <v>0</v>
      </c>
      <c r="BL35" s="18">
        <f t="shared" si="30"/>
        <v>0</v>
      </c>
      <c r="BM35" s="78">
        <f t="shared" si="31"/>
        <v>0</v>
      </c>
      <c r="BN35" s="14">
        <f t="shared" si="32"/>
        <v>0</v>
      </c>
      <c r="BO35" s="14">
        <f t="shared" si="33"/>
        <v>0</v>
      </c>
      <c r="BP35" s="15">
        <f t="shared" si="93"/>
        <v>0</v>
      </c>
      <c r="BQ35" s="73">
        <f t="shared" si="34"/>
        <v>0</v>
      </c>
      <c r="BR35" s="242" t="e">
        <f t="shared" si="35"/>
        <v>#DIV/0!</v>
      </c>
      <c r="BS35" s="75">
        <f t="shared" si="106"/>
        <v>0</v>
      </c>
      <c r="BT35" s="15">
        <f t="shared" si="107"/>
        <v>0</v>
      </c>
      <c r="BU35" s="15">
        <f t="shared" si="108"/>
        <v>0</v>
      </c>
      <c r="BV35" s="17">
        <f t="shared" si="109"/>
        <v>0</v>
      </c>
      <c r="BW35" s="72">
        <f t="shared" si="37"/>
        <v>0</v>
      </c>
      <c r="BX35" s="14">
        <f t="shared" si="38"/>
        <v>0</v>
      </c>
      <c r="BY35" s="15">
        <f t="shared" si="97"/>
        <v>0</v>
      </c>
      <c r="BZ35" s="14">
        <f t="shared" si="98"/>
        <v>0</v>
      </c>
      <c r="CA35" s="73">
        <f t="shared" si="39"/>
        <v>0</v>
      </c>
      <c r="CB35" s="192" t="e">
        <f t="shared" si="40"/>
        <v>#DIV/0!</v>
      </c>
      <c r="CC35" s="72" t="e">
        <f t="shared" si="41"/>
        <v>#DIV/0!</v>
      </c>
      <c r="CD35" s="14">
        <f t="shared" si="42"/>
        <v>0</v>
      </c>
      <c r="CE35" s="19">
        <f t="shared" si="99"/>
        <v>0</v>
      </c>
      <c r="CF35" s="19">
        <f t="shared" si="43"/>
        <v>0</v>
      </c>
      <c r="CG35" s="20" t="e">
        <f t="shared" si="44"/>
        <v>#DIV/0!</v>
      </c>
      <c r="CH35" s="20" t="e">
        <f t="shared" si="45"/>
        <v>#DIV/0!</v>
      </c>
      <c r="CI35" s="83" t="e">
        <f t="shared" si="100"/>
        <v>#DIV/0!</v>
      </c>
      <c r="CJ35" s="77" t="e">
        <f t="shared" si="46"/>
        <v>#DIV/0!</v>
      </c>
      <c r="CK35" s="2" t="e">
        <f t="shared" si="101"/>
        <v>#DIV/0!</v>
      </c>
      <c r="CL35" s="2" t="str">
        <f t="shared" si="47"/>
        <v/>
      </c>
      <c r="CM35" s="231" t="e">
        <f t="shared" si="102"/>
        <v>#DIV/0!</v>
      </c>
      <c r="CN35" s="233" t="e">
        <f t="shared" si="103"/>
        <v>#DIV/0!</v>
      </c>
      <c r="CO35" s="233">
        <f t="shared" si="104"/>
        <v>0</v>
      </c>
      <c r="CP35" s="2">
        <f t="shared" si="48"/>
        <v>1</v>
      </c>
      <c r="CQ35" s="2">
        <f t="shared" si="49"/>
        <v>1</v>
      </c>
      <c r="CR35" s="2" t="str">
        <f t="shared" si="50"/>
        <v/>
      </c>
      <c r="CS35" s="2">
        <f t="shared" si="51"/>
        <v>0</v>
      </c>
      <c r="CT35" s="191">
        <f t="shared" si="52"/>
        <v>0</v>
      </c>
      <c r="CU35" s="2" t="str">
        <f t="shared" si="53"/>
        <v>OK</v>
      </c>
      <c r="CV35" s="232">
        <f t="shared" si="54"/>
        <v>0.05</v>
      </c>
      <c r="CW35" s="191" t="e">
        <f t="shared" si="55"/>
        <v>#DIV/0!</v>
      </c>
      <c r="CX35" s="191" t="e">
        <f t="shared" si="56"/>
        <v>#DIV/0!</v>
      </c>
      <c r="CY35" s="191" t="e">
        <f t="shared" si="57"/>
        <v>#DIV/0!</v>
      </c>
      <c r="CZ35" s="191" t="e">
        <f t="shared" si="58"/>
        <v>#DIV/0!</v>
      </c>
      <c r="DA35" s="191">
        <f t="shared" si="59"/>
        <v>1</v>
      </c>
      <c r="DB35" s="191">
        <f t="shared" si="60"/>
        <v>0</v>
      </c>
      <c r="DC35" s="2" t="str">
        <f t="shared" si="61"/>
        <v>Soft</v>
      </c>
      <c r="DD35" s="2"/>
      <c r="DE35" s="2">
        <f t="shared" si="62"/>
        <v>0</v>
      </c>
      <c r="DF35" s="191" t="e">
        <f t="shared" si="63"/>
        <v>#DIV/0!</v>
      </c>
      <c r="DG35" s="191" t="e">
        <f t="shared" si="64"/>
        <v>#DIV/0!</v>
      </c>
      <c r="DH35" s="191" t="e">
        <f t="shared" si="65"/>
        <v>#DIV/0!</v>
      </c>
      <c r="DI35" s="191" t="e">
        <f t="shared" si="66"/>
        <v>#DIV/0!</v>
      </c>
      <c r="DJ35" s="191" t="e">
        <f t="shared" si="105"/>
        <v>#DIV/0!</v>
      </c>
      <c r="DK35" s="2"/>
      <c r="DL35" s="2"/>
      <c r="DM35" s="2"/>
      <c r="DN35" s="2">
        <f t="shared" si="67"/>
        <v>1</v>
      </c>
      <c r="DO35" s="191" t="e">
        <f t="shared" si="68"/>
        <v>#DIV/0!</v>
      </c>
      <c r="DP35" s="191" t="e">
        <f t="shared" si="69"/>
        <v>#DIV/0!</v>
      </c>
      <c r="DQ35" s="191" t="e">
        <f t="shared" si="70"/>
        <v>#DIV/0!</v>
      </c>
      <c r="DR35" s="191" t="e">
        <f t="shared" si="71"/>
        <v>#DIV/0!</v>
      </c>
      <c r="DS35" s="191" t="e">
        <f t="shared" si="72"/>
        <v>#DIV/0!</v>
      </c>
      <c r="DT35" s="191" t="e">
        <f t="shared" si="73"/>
        <v>#DIV/0!</v>
      </c>
      <c r="DU35" s="191">
        <f t="shared" si="74"/>
        <v>0</v>
      </c>
      <c r="DV35" s="2"/>
      <c r="DW35" s="2" t="b">
        <f t="shared" si="75"/>
        <v>1</v>
      </c>
      <c r="DX35" s="2" t="b">
        <f t="shared" si="76"/>
        <v>1</v>
      </c>
      <c r="DY35" s="2" t="b">
        <f t="shared" si="77"/>
        <v>1</v>
      </c>
      <c r="DZ35" s="2" t="b">
        <f t="shared" si="78"/>
        <v>1</v>
      </c>
      <c r="EA35" s="2" t="b">
        <f t="shared" si="79"/>
        <v>1</v>
      </c>
      <c r="EB35"/>
    </row>
    <row r="36" spans="1:132" s="108" customFormat="1" ht="18.5" thickBot="1" x14ac:dyDescent="0.45">
      <c r="A36" s="109"/>
      <c r="B36" s="88">
        <f t="shared" si="80"/>
        <v>20</v>
      </c>
      <c r="C36" s="118">
        <v>17</v>
      </c>
      <c r="D36" s="792"/>
      <c r="E36" s="798"/>
      <c r="F36" s="555"/>
      <c r="G36" s="556"/>
      <c r="H36" s="557"/>
      <c r="I36" s="558"/>
      <c r="J36" s="559"/>
      <c r="K36" s="560"/>
      <c r="L36" s="560"/>
      <c r="M36" s="560"/>
      <c r="N36" s="561"/>
      <c r="O36" s="562"/>
      <c r="P36" s="563"/>
      <c r="Q36" s="564"/>
      <c r="R36" s="565"/>
      <c r="S36" s="112" t="str">
        <f t="shared" si="2"/>
        <v/>
      </c>
      <c r="T36" s="113" t="str">
        <f t="shared" si="3"/>
        <v/>
      </c>
      <c r="U36" s="114">
        <f t="shared" si="4"/>
        <v>0</v>
      </c>
      <c r="V36" s="117" t="str">
        <f t="shared" si="5"/>
        <v/>
      </c>
      <c r="W36" s="234" t="str">
        <f t="shared" si="6"/>
        <v/>
      </c>
      <c r="X36" s="115">
        <f t="shared" si="7"/>
        <v>0</v>
      </c>
      <c r="Y36" s="116" t="str">
        <f t="shared" si="8"/>
        <v/>
      </c>
      <c r="Z36" s="111"/>
      <c r="AA36" s="2"/>
      <c r="AB36" s="2">
        <v>17</v>
      </c>
      <c r="AC36" s="22">
        <f t="shared" si="9"/>
        <v>20</v>
      </c>
      <c r="AD36" s="22">
        <f t="shared" si="81"/>
        <v>0</v>
      </c>
      <c r="AE36" s="22">
        <f t="shared" si="82"/>
        <v>0</v>
      </c>
      <c r="AF36" s="22"/>
      <c r="AG36" s="21">
        <f t="shared" si="83"/>
        <v>0</v>
      </c>
      <c r="AH36" s="6">
        <f t="shared" si="10"/>
        <v>0</v>
      </c>
      <c r="AI36" s="7">
        <f>IF(SUM(AH36:AH$99)=0,0,F36&gt;0)</f>
        <v>0</v>
      </c>
      <c r="AJ36" s="6">
        <f t="shared" si="11"/>
        <v>0</v>
      </c>
      <c r="AK36" s="7">
        <f>IF(SUM(AH36:AH$99)=0,0,AND(AI36=FALSE,AJ36=0,SUM(AJ36:AJ$99)&gt;0))</f>
        <v>0</v>
      </c>
      <c r="AL36" s="7">
        <f t="shared" si="84"/>
        <v>0</v>
      </c>
      <c r="AM36" s="7">
        <f t="shared" si="13"/>
        <v>0</v>
      </c>
      <c r="AN36" s="9">
        <f t="shared" si="14"/>
        <v>0</v>
      </c>
      <c r="AO36" s="9">
        <f t="shared" si="15"/>
        <v>0</v>
      </c>
      <c r="AP36" s="486">
        <f t="shared" si="16"/>
        <v>0</v>
      </c>
      <c r="AQ36" s="486">
        <f t="shared" si="85"/>
        <v>0</v>
      </c>
      <c r="AR36" s="7">
        <f t="shared" si="17"/>
        <v>0</v>
      </c>
      <c r="AS36" s="7" t="str">
        <f t="shared" si="86"/>
        <v/>
      </c>
      <c r="AT36" s="7">
        <f t="shared" si="18"/>
        <v>0</v>
      </c>
      <c r="AU36" s="485">
        <f t="shared" si="87"/>
        <v>0</v>
      </c>
      <c r="AV36" s="7">
        <f t="shared" si="19"/>
        <v>0</v>
      </c>
      <c r="AW36" s="7">
        <f t="shared" si="20"/>
        <v>0</v>
      </c>
      <c r="AX36" s="7">
        <f t="shared" si="21"/>
        <v>0</v>
      </c>
      <c r="AY36" s="484">
        <f t="shared" si="88"/>
        <v>0</v>
      </c>
      <c r="AZ36" s="7">
        <f t="shared" si="22"/>
        <v>0</v>
      </c>
      <c r="BA36" s="483">
        <f t="shared" si="89"/>
        <v>0</v>
      </c>
      <c r="BB36" s="487" t="str">
        <f t="shared" si="90"/>
        <v/>
      </c>
      <c r="BC36" s="487" t="str">
        <f t="shared" si="91"/>
        <v/>
      </c>
      <c r="BD36" s="7">
        <f t="shared" si="23"/>
        <v>0</v>
      </c>
      <c r="BE36" s="7">
        <f t="shared" si="24"/>
        <v>0</v>
      </c>
      <c r="BF36" s="7">
        <f t="shared" si="25"/>
        <v>0</v>
      </c>
      <c r="BG36" s="8" t="b">
        <f t="shared" si="26"/>
        <v>0</v>
      </c>
      <c r="BH36" s="235" t="str">
        <f t="shared" si="27"/>
        <v/>
      </c>
      <c r="BI36" s="75">
        <f t="shared" si="28"/>
        <v>0</v>
      </c>
      <c r="BJ36" s="15">
        <f t="shared" si="29"/>
        <v>0</v>
      </c>
      <c r="BK36" s="15">
        <f t="shared" si="92"/>
        <v>0</v>
      </c>
      <c r="BL36" s="18">
        <f t="shared" si="30"/>
        <v>0</v>
      </c>
      <c r="BM36" s="78">
        <f t="shared" si="31"/>
        <v>0</v>
      </c>
      <c r="BN36" s="14">
        <f t="shared" si="32"/>
        <v>0</v>
      </c>
      <c r="BO36" s="14">
        <f t="shared" si="33"/>
        <v>0</v>
      </c>
      <c r="BP36" s="15">
        <f t="shared" si="93"/>
        <v>0</v>
      </c>
      <c r="BQ36" s="73">
        <f t="shared" si="34"/>
        <v>0</v>
      </c>
      <c r="BR36" s="242" t="e">
        <f t="shared" si="35"/>
        <v>#DIV/0!</v>
      </c>
      <c r="BS36" s="75">
        <f t="shared" si="106"/>
        <v>0</v>
      </c>
      <c r="BT36" s="15">
        <f t="shared" si="107"/>
        <v>0</v>
      </c>
      <c r="BU36" s="15">
        <f t="shared" si="108"/>
        <v>0</v>
      </c>
      <c r="BV36" s="17">
        <f t="shared" si="109"/>
        <v>0</v>
      </c>
      <c r="BW36" s="72">
        <f t="shared" si="37"/>
        <v>0</v>
      </c>
      <c r="BX36" s="14">
        <f t="shared" si="38"/>
        <v>0</v>
      </c>
      <c r="BY36" s="15">
        <f t="shared" si="97"/>
        <v>0</v>
      </c>
      <c r="BZ36" s="14">
        <f t="shared" si="98"/>
        <v>0</v>
      </c>
      <c r="CA36" s="73">
        <f t="shared" si="39"/>
        <v>0</v>
      </c>
      <c r="CB36" s="192" t="e">
        <f t="shared" si="40"/>
        <v>#DIV/0!</v>
      </c>
      <c r="CC36" s="72" t="e">
        <f t="shared" si="41"/>
        <v>#DIV/0!</v>
      </c>
      <c r="CD36" s="14">
        <f t="shared" si="42"/>
        <v>0</v>
      </c>
      <c r="CE36" s="19">
        <f t="shared" si="99"/>
        <v>0</v>
      </c>
      <c r="CF36" s="19">
        <f t="shared" si="43"/>
        <v>0</v>
      </c>
      <c r="CG36" s="20" t="e">
        <f t="shared" si="44"/>
        <v>#DIV/0!</v>
      </c>
      <c r="CH36" s="20" t="e">
        <f t="shared" si="45"/>
        <v>#DIV/0!</v>
      </c>
      <c r="CI36" s="83" t="e">
        <f t="shared" si="100"/>
        <v>#DIV/0!</v>
      </c>
      <c r="CJ36" s="77" t="e">
        <f t="shared" si="46"/>
        <v>#DIV/0!</v>
      </c>
      <c r="CK36" s="2" t="e">
        <f t="shared" si="101"/>
        <v>#DIV/0!</v>
      </c>
      <c r="CL36" s="2" t="str">
        <f t="shared" si="47"/>
        <v/>
      </c>
      <c r="CM36" s="231" t="e">
        <f t="shared" si="102"/>
        <v>#DIV/0!</v>
      </c>
      <c r="CN36" s="233" t="e">
        <f t="shared" si="103"/>
        <v>#DIV/0!</v>
      </c>
      <c r="CO36" s="233">
        <f t="shared" si="104"/>
        <v>0</v>
      </c>
      <c r="CP36" s="2">
        <f t="shared" si="48"/>
        <v>1</v>
      </c>
      <c r="CQ36" s="2">
        <f t="shared" si="49"/>
        <v>1</v>
      </c>
      <c r="CR36" s="2" t="str">
        <f t="shared" si="50"/>
        <v/>
      </c>
      <c r="CS36" s="2">
        <f t="shared" si="51"/>
        <v>0</v>
      </c>
      <c r="CT36" s="191">
        <f t="shared" si="52"/>
        <v>0</v>
      </c>
      <c r="CU36" s="2" t="str">
        <f t="shared" si="53"/>
        <v>OK</v>
      </c>
      <c r="CV36" s="232">
        <f t="shared" si="54"/>
        <v>0.05</v>
      </c>
      <c r="CW36" s="191" t="e">
        <f t="shared" si="55"/>
        <v>#DIV/0!</v>
      </c>
      <c r="CX36" s="191" t="e">
        <f t="shared" si="56"/>
        <v>#DIV/0!</v>
      </c>
      <c r="CY36" s="191" t="e">
        <f t="shared" si="57"/>
        <v>#DIV/0!</v>
      </c>
      <c r="CZ36" s="191" t="e">
        <f t="shared" si="58"/>
        <v>#DIV/0!</v>
      </c>
      <c r="DA36" s="191">
        <f t="shared" si="59"/>
        <v>1</v>
      </c>
      <c r="DB36" s="191">
        <f t="shared" si="60"/>
        <v>0</v>
      </c>
      <c r="DC36" s="2" t="str">
        <f t="shared" si="61"/>
        <v>Soft</v>
      </c>
      <c r="DD36" s="2"/>
      <c r="DE36" s="2">
        <f t="shared" si="62"/>
        <v>0</v>
      </c>
      <c r="DF36" s="191" t="e">
        <f t="shared" si="63"/>
        <v>#DIV/0!</v>
      </c>
      <c r="DG36" s="191" t="e">
        <f t="shared" si="64"/>
        <v>#DIV/0!</v>
      </c>
      <c r="DH36" s="191" t="e">
        <f t="shared" si="65"/>
        <v>#DIV/0!</v>
      </c>
      <c r="DI36" s="191" t="e">
        <f t="shared" si="66"/>
        <v>#DIV/0!</v>
      </c>
      <c r="DJ36" s="191" t="e">
        <f t="shared" si="105"/>
        <v>#DIV/0!</v>
      </c>
      <c r="DK36" s="2"/>
      <c r="DL36" s="2"/>
      <c r="DM36" s="2"/>
      <c r="DN36" s="2">
        <f t="shared" si="67"/>
        <v>1</v>
      </c>
      <c r="DO36" s="191" t="e">
        <f t="shared" si="68"/>
        <v>#DIV/0!</v>
      </c>
      <c r="DP36" s="191" t="e">
        <f t="shared" si="69"/>
        <v>#DIV/0!</v>
      </c>
      <c r="DQ36" s="191" t="e">
        <f t="shared" si="70"/>
        <v>#DIV/0!</v>
      </c>
      <c r="DR36" s="191" t="e">
        <f t="shared" si="71"/>
        <v>#DIV/0!</v>
      </c>
      <c r="DS36" s="191" t="e">
        <f t="shared" si="72"/>
        <v>#DIV/0!</v>
      </c>
      <c r="DT36" s="191" t="e">
        <f t="shared" si="73"/>
        <v>#DIV/0!</v>
      </c>
      <c r="DU36" s="191">
        <f t="shared" si="74"/>
        <v>0</v>
      </c>
      <c r="DV36" s="2"/>
      <c r="DW36" s="2" t="b">
        <f t="shared" si="75"/>
        <v>1</v>
      </c>
      <c r="DX36" s="2" t="b">
        <f t="shared" si="76"/>
        <v>1</v>
      </c>
      <c r="DY36" s="2" t="b">
        <f t="shared" si="77"/>
        <v>1</v>
      </c>
      <c r="DZ36" s="2" t="b">
        <f t="shared" si="78"/>
        <v>1</v>
      </c>
      <c r="EA36" s="2" t="b">
        <f t="shared" si="79"/>
        <v>1</v>
      </c>
      <c r="EB36"/>
    </row>
    <row r="37" spans="1:132" s="108" customFormat="1" ht="18.5" thickBot="1" x14ac:dyDescent="0.45">
      <c r="A37" s="109"/>
      <c r="B37" s="88">
        <f t="shared" si="80"/>
        <v>20</v>
      </c>
      <c r="C37" s="118">
        <v>18</v>
      </c>
      <c r="D37" s="792"/>
      <c r="E37" s="798"/>
      <c r="F37" s="555"/>
      <c r="G37" s="556"/>
      <c r="H37" s="557"/>
      <c r="I37" s="558"/>
      <c r="J37" s="559"/>
      <c r="K37" s="560"/>
      <c r="L37" s="560"/>
      <c r="M37" s="560"/>
      <c r="N37" s="561"/>
      <c r="O37" s="562"/>
      <c r="P37" s="563"/>
      <c r="Q37" s="564"/>
      <c r="R37" s="565"/>
      <c r="S37" s="112" t="str">
        <f t="shared" si="2"/>
        <v/>
      </c>
      <c r="T37" s="113" t="str">
        <f t="shared" si="3"/>
        <v/>
      </c>
      <c r="U37" s="114">
        <f t="shared" si="4"/>
        <v>0</v>
      </c>
      <c r="V37" s="117" t="str">
        <f t="shared" si="5"/>
        <v/>
      </c>
      <c r="W37" s="234" t="str">
        <f t="shared" si="6"/>
        <v/>
      </c>
      <c r="X37" s="115">
        <f t="shared" si="7"/>
        <v>0</v>
      </c>
      <c r="Y37" s="116" t="str">
        <f t="shared" si="8"/>
        <v/>
      </c>
      <c r="Z37" s="111"/>
      <c r="AA37" s="2"/>
      <c r="AB37" s="2">
        <v>18</v>
      </c>
      <c r="AC37" s="22">
        <f t="shared" si="9"/>
        <v>20</v>
      </c>
      <c r="AD37" s="22">
        <f t="shared" si="81"/>
        <v>0</v>
      </c>
      <c r="AE37" s="22">
        <f t="shared" si="82"/>
        <v>0</v>
      </c>
      <c r="AF37" s="22"/>
      <c r="AG37" s="21">
        <f t="shared" si="83"/>
        <v>0</v>
      </c>
      <c r="AH37" s="6">
        <f t="shared" si="10"/>
        <v>0</v>
      </c>
      <c r="AI37" s="7">
        <f>IF(SUM(AH37:AH$99)=0,0,F37&gt;0)</f>
        <v>0</v>
      </c>
      <c r="AJ37" s="6">
        <f t="shared" si="11"/>
        <v>0</v>
      </c>
      <c r="AK37" s="7">
        <f>IF(SUM(AH37:AH$99)=0,0,AND(AI37=FALSE,AJ37=0,SUM(AJ37:AJ$99)&gt;0))</f>
        <v>0</v>
      </c>
      <c r="AL37" s="7">
        <f t="shared" si="84"/>
        <v>0</v>
      </c>
      <c r="AM37" s="7">
        <f t="shared" si="13"/>
        <v>0</v>
      </c>
      <c r="AN37" s="9">
        <f t="shared" si="14"/>
        <v>0</v>
      </c>
      <c r="AO37" s="9">
        <f t="shared" si="15"/>
        <v>0</v>
      </c>
      <c r="AP37" s="486">
        <f t="shared" si="16"/>
        <v>0</v>
      </c>
      <c r="AQ37" s="486">
        <f t="shared" si="85"/>
        <v>0</v>
      </c>
      <c r="AR37" s="7">
        <f t="shared" si="17"/>
        <v>0</v>
      </c>
      <c r="AS37" s="7" t="str">
        <f t="shared" si="86"/>
        <v/>
      </c>
      <c r="AT37" s="7">
        <f t="shared" si="18"/>
        <v>0</v>
      </c>
      <c r="AU37" s="485">
        <f t="shared" si="87"/>
        <v>0</v>
      </c>
      <c r="AV37" s="7">
        <f t="shared" si="19"/>
        <v>0</v>
      </c>
      <c r="AW37" s="7">
        <f t="shared" si="20"/>
        <v>0</v>
      </c>
      <c r="AX37" s="7">
        <f t="shared" si="21"/>
        <v>0</v>
      </c>
      <c r="AY37" s="484">
        <f t="shared" si="88"/>
        <v>0</v>
      </c>
      <c r="AZ37" s="7">
        <f t="shared" si="22"/>
        <v>0</v>
      </c>
      <c r="BA37" s="483">
        <f t="shared" si="89"/>
        <v>0</v>
      </c>
      <c r="BB37" s="487" t="str">
        <f t="shared" si="90"/>
        <v/>
      </c>
      <c r="BC37" s="487" t="str">
        <f t="shared" si="91"/>
        <v/>
      </c>
      <c r="BD37" s="7">
        <f t="shared" si="23"/>
        <v>0</v>
      </c>
      <c r="BE37" s="7">
        <f t="shared" si="24"/>
        <v>0</v>
      </c>
      <c r="BF37" s="7">
        <f t="shared" si="25"/>
        <v>0</v>
      </c>
      <c r="BG37" s="8" t="b">
        <f t="shared" si="26"/>
        <v>0</v>
      </c>
      <c r="BH37" s="235" t="str">
        <f t="shared" si="27"/>
        <v/>
      </c>
      <c r="BI37" s="75">
        <f t="shared" si="28"/>
        <v>0</v>
      </c>
      <c r="BJ37" s="15">
        <f t="shared" si="29"/>
        <v>0</v>
      </c>
      <c r="BK37" s="15">
        <f t="shared" si="92"/>
        <v>0</v>
      </c>
      <c r="BL37" s="18">
        <f t="shared" si="30"/>
        <v>0</v>
      </c>
      <c r="BM37" s="78">
        <f t="shared" si="31"/>
        <v>0</v>
      </c>
      <c r="BN37" s="14">
        <f t="shared" si="32"/>
        <v>0</v>
      </c>
      <c r="BO37" s="14">
        <f t="shared" si="33"/>
        <v>0</v>
      </c>
      <c r="BP37" s="15">
        <f t="shared" si="93"/>
        <v>0</v>
      </c>
      <c r="BQ37" s="73">
        <f t="shared" si="34"/>
        <v>0</v>
      </c>
      <c r="BR37" s="242" t="e">
        <f t="shared" si="35"/>
        <v>#DIV/0!</v>
      </c>
      <c r="BS37" s="75">
        <f t="shared" si="106"/>
        <v>0</v>
      </c>
      <c r="BT37" s="15">
        <f t="shared" si="107"/>
        <v>0</v>
      </c>
      <c r="BU37" s="15">
        <f t="shared" si="108"/>
        <v>0</v>
      </c>
      <c r="BV37" s="17">
        <f t="shared" si="109"/>
        <v>0</v>
      </c>
      <c r="BW37" s="72">
        <f t="shared" si="37"/>
        <v>0</v>
      </c>
      <c r="BX37" s="14">
        <f t="shared" si="38"/>
        <v>0</v>
      </c>
      <c r="BY37" s="15">
        <f t="shared" si="97"/>
        <v>0</v>
      </c>
      <c r="BZ37" s="14">
        <f t="shared" si="98"/>
        <v>0</v>
      </c>
      <c r="CA37" s="73">
        <f t="shared" si="39"/>
        <v>0</v>
      </c>
      <c r="CB37" s="192" t="e">
        <f t="shared" si="40"/>
        <v>#DIV/0!</v>
      </c>
      <c r="CC37" s="72" t="e">
        <f t="shared" si="41"/>
        <v>#DIV/0!</v>
      </c>
      <c r="CD37" s="14">
        <f t="shared" si="42"/>
        <v>0</v>
      </c>
      <c r="CE37" s="19">
        <f t="shared" si="99"/>
        <v>0</v>
      </c>
      <c r="CF37" s="19">
        <f t="shared" si="43"/>
        <v>0</v>
      </c>
      <c r="CG37" s="20" t="e">
        <f t="shared" si="44"/>
        <v>#DIV/0!</v>
      </c>
      <c r="CH37" s="20" t="e">
        <f t="shared" si="45"/>
        <v>#DIV/0!</v>
      </c>
      <c r="CI37" s="83" t="e">
        <f t="shared" si="100"/>
        <v>#DIV/0!</v>
      </c>
      <c r="CJ37" s="77" t="e">
        <f t="shared" si="46"/>
        <v>#DIV/0!</v>
      </c>
      <c r="CK37" s="2" t="e">
        <f t="shared" si="101"/>
        <v>#DIV/0!</v>
      </c>
      <c r="CL37" s="2" t="str">
        <f t="shared" si="47"/>
        <v/>
      </c>
      <c r="CM37" s="231" t="e">
        <f t="shared" si="102"/>
        <v>#DIV/0!</v>
      </c>
      <c r="CN37" s="233" t="e">
        <f t="shared" si="103"/>
        <v>#DIV/0!</v>
      </c>
      <c r="CO37" s="233">
        <f t="shared" si="104"/>
        <v>0</v>
      </c>
      <c r="CP37" s="2">
        <f t="shared" si="48"/>
        <v>1</v>
      </c>
      <c r="CQ37" s="2">
        <f t="shared" si="49"/>
        <v>1</v>
      </c>
      <c r="CR37" s="2" t="str">
        <f t="shared" si="50"/>
        <v/>
      </c>
      <c r="CS37" s="2">
        <f t="shared" si="51"/>
        <v>0</v>
      </c>
      <c r="CT37" s="191">
        <f t="shared" si="52"/>
        <v>0</v>
      </c>
      <c r="CU37" s="2" t="str">
        <f t="shared" si="53"/>
        <v>OK</v>
      </c>
      <c r="CV37" s="232">
        <f t="shared" si="54"/>
        <v>0.05</v>
      </c>
      <c r="CW37" s="191" t="e">
        <f t="shared" si="55"/>
        <v>#DIV/0!</v>
      </c>
      <c r="CX37" s="191" t="e">
        <f t="shared" si="56"/>
        <v>#DIV/0!</v>
      </c>
      <c r="CY37" s="191" t="e">
        <f t="shared" si="57"/>
        <v>#DIV/0!</v>
      </c>
      <c r="CZ37" s="191" t="e">
        <f t="shared" si="58"/>
        <v>#DIV/0!</v>
      </c>
      <c r="DA37" s="191">
        <f t="shared" si="59"/>
        <v>1</v>
      </c>
      <c r="DB37" s="191">
        <f t="shared" si="60"/>
        <v>0</v>
      </c>
      <c r="DC37" s="2" t="str">
        <f t="shared" si="61"/>
        <v>Soft</v>
      </c>
      <c r="DD37" s="2"/>
      <c r="DE37" s="2">
        <f t="shared" si="62"/>
        <v>0</v>
      </c>
      <c r="DF37" s="191" t="e">
        <f t="shared" si="63"/>
        <v>#DIV/0!</v>
      </c>
      <c r="DG37" s="191" t="e">
        <f t="shared" si="64"/>
        <v>#DIV/0!</v>
      </c>
      <c r="DH37" s="191" t="e">
        <f t="shared" si="65"/>
        <v>#DIV/0!</v>
      </c>
      <c r="DI37" s="191" t="e">
        <f t="shared" si="66"/>
        <v>#DIV/0!</v>
      </c>
      <c r="DJ37" s="191" t="e">
        <f t="shared" si="105"/>
        <v>#DIV/0!</v>
      </c>
      <c r="DK37" s="2"/>
      <c r="DL37" s="2"/>
      <c r="DM37" s="2"/>
      <c r="DN37" s="2">
        <f t="shared" si="67"/>
        <v>1</v>
      </c>
      <c r="DO37" s="191" t="e">
        <f t="shared" si="68"/>
        <v>#DIV/0!</v>
      </c>
      <c r="DP37" s="191" t="e">
        <f t="shared" si="69"/>
        <v>#DIV/0!</v>
      </c>
      <c r="DQ37" s="191" t="e">
        <f t="shared" si="70"/>
        <v>#DIV/0!</v>
      </c>
      <c r="DR37" s="191" t="e">
        <f t="shared" si="71"/>
        <v>#DIV/0!</v>
      </c>
      <c r="DS37" s="191" t="e">
        <f t="shared" si="72"/>
        <v>#DIV/0!</v>
      </c>
      <c r="DT37" s="191" t="e">
        <f t="shared" si="73"/>
        <v>#DIV/0!</v>
      </c>
      <c r="DU37" s="191">
        <f t="shared" si="74"/>
        <v>0</v>
      </c>
      <c r="DV37" s="2"/>
      <c r="DW37" s="2" t="b">
        <f t="shared" si="75"/>
        <v>1</v>
      </c>
      <c r="DX37" s="2" t="b">
        <f t="shared" si="76"/>
        <v>1</v>
      </c>
      <c r="DY37" s="2" t="b">
        <f t="shared" si="77"/>
        <v>1</v>
      </c>
      <c r="DZ37" s="2" t="b">
        <f t="shared" si="78"/>
        <v>1</v>
      </c>
      <c r="EA37" s="2" t="b">
        <f t="shared" si="79"/>
        <v>1</v>
      </c>
      <c r="EB37"/>
    </row>
    <row r="38" spans="1:132" s="108" customFormat="1" ht="18.5" thickBot="1" x14ac:dyDescent="0.45">
      <c r="A38" s="109"/>
      <c r="B38" s="88">
        <f t="shared" si="80"/>
        <v>20</v>
      </c>
      <c r="C38" s="118">
        <v>19</v>
      </c>
      <c r="D38" s="792"/>
      <c r="E38" s="798"/>
      <c r="F38" s="555"/>
      <c r="G38" s="556"/>
      <c r="H38" s="557"/>
      <c r="I38" s="558"/>
      <c r="J38" s="559"/>
      <c r="K38" s="560"/>
      <c r="L38" s="560"/>
      <c r="M38" s="560"/>
      <c r="N38" s="561"/>
      <c r="O38" s="562"/>
      <c r="P38" s="563"/>
      <c r="Q38" s="564"/>
      <c r="R38" s="565"/>
      <c r="S38" s="112" t="str">
        <f t="shared" si="2"/>
        <v/>
      </c>
      <c r="T38" s="113" t="str">
        <f t="shared" si="3"/>
        <v/>
      </c>
      <c r="U38" s="114">
        <f t="shared" si="4"/>
        <v>0</v>
      </c>
      <c r="V38" s="117" t="str">
        <f t="shared" si="5"/>
        <v/>
      </c>
      <c r="W38" s="234" t="str">
        <f t="shared" si="6"/>
        <v/>
      </c>
      <c r="X38" s="115">
        <f t="shared" si="7"/>
        <v>0</v>
      </c>
      <c r="Y38" s="116" t="str">
        <f t="shared" si="8"/>
        <v/>
      </c>
      <c r="Z38" s="111"/>
      <c r="AA38" s="2"/>
      <c r="AB38" s="2">
        <v>19</v>
      </c>
      <c r="AC38" s="22">
        <f t="shared" si="9"/>
        <v>20</v>
      </c>
      <c r="AD38" s="22">
        <f t="shared" si="81"/>
        <v>0</v>
      </c>
      <c r="AE38" s="22">
        <f t="shared" si="82"/>
        <v>0</v>
      </c>
      <c r="AF38" s="22"/>
      <c r="AG38" s="21">
        <f t="shared" si="83"/>
        <v>0</v>
      </c>
      <c r="AH38" s="6">
        <f t="shared" si="10"/>
        <v>0</v>
      </c>
      <c r="AI38" s="7">
        <f>IF(SUM(AH38:AH$99)=0,0,F38&gt;0)</f>
        <v>0</v>
      </c>
      <c r="AJ38" s="6">
        <f t="shared" si="11"/>
        <v>0</v>
      </c>
      <c r="AK38" s="7">
        <f>IF(SUM(AH38:AH$99)=0,0,AND(AI38=FALSE,AJ38=0,SUM(AJ38:AJ$99)&gt;0))</f>
        <v>0</v>
      </c>
      <c r="AL38" s="7">
        <f t="shared" si="84"/>
        <v>0</v>
      </c>
      <c r="AM38" s="7">
        <f t="shared" si="13"/>
        <v>0</v>
      </c>
      <c r="AN38" s="9">
        <f t="shared" si="14"/>
        <v>0</v>
      </c>
      <c r="AO38" s="9">
        <f t="shared" si="15"/>
        <v>0</v>
      </c>
      <c r="AP38" s="486">
        <f t="shared" si="16"/>
        <v>0</v>
      </c>
      <c r="AQ38" s="486">
        <f t="shared" si="85"/>
        <v>0</v>
      </c>
      <c r="AR38" s="7">
        <f t="shared" si="17"/>
        <v>0</v>
      </c>
      <c r="AS38" s="7" t="str">
        <f t="shared" si="86"/>
        <v/>
      </c>
      <c r="AT38" s="7">
        <f t="shared" si="18"/>
        <v>0</v>
      </c>
      <c r="AU38" s="485">
        <f t="shared" si="87"/>
        <v>0</v>
      </c>
      <c r="AV38" s="7">
        <f t="shared" si="19"/>
        <v>0</v>
      </c>
      <c r="AW38" s="7">
        <f t="shared" si="20"/>
        <v>0</v>
      </c>
      <c r="AX38" s="7">
        <f t="shared" si="21"/>
        <v>0</v>
      </c>
      <c r="AY38" s="484">
        <f t="shared" si="88"/>
        <v>0</v>
      </c>
      <c r="AZ38" s="7">
        <f t="shared" si="22"/>
        <v>0</v>
      </c>
      <c r="BA38" s="483">
        <f t="shared" si="89"/>
        <v>0</v>
      </c>
      <c r="BB38" s="487" t="str">
        <f t="shared" si="90"/>
        <v/>
      </c>
      <c r="BC38" s="487" t="str">
        <f t="shared" si="91"/>
        <v/>
      </c>
      <c r="BD38" s="7">
        <f t="shared" si="23"/>
        <v>0</v>
      </c>
      <c r="BE38" s="7">
        <f t="shared" si="24"/>
        <v>0</v>
      </c>
      <c r="BF38" s="7">
        <f t="shared" si="25"/>
        <v>0</v>
      </c>
      <c r="BG38" s="8" t="b">
        <f t="shared" si="26"/>
        <v>0</v>
      </c>
      <c r="BH38" s="235" t="str">
        <f t="shared" si="27"/>
        <v/>
      </c>
      <c r="BI38" s="75">
        <f t="shared" si="28"/>
        <v>0</v>
      </c>
      <c r="BJ38" s="15">
        <f t="shared" si="29"/>
        <v>0</v>
      </c>
      <c r="BK38" s="15">
        <f t="shared" si="92"/>
        <v>0</v>
      </c>
      <c r="BL38" s="18">
        <f t="shared" si="30"/>
        <v>0</v>
      </c>
      <c r="BM38" s="78">
        <f t="shared" si="31"/>
        <v>0</v>
      </c>
      <c r="BN38" s="14">
        <f t="shared" si="32"/>
        <v>0</v>
      </c>
      <c r="BO38" s="14">
        <f t="shared" si="33"/>
        <v>0</v>
      </c>
      <c r="BP38" s="15">
        <f t="shared" si="93"/>
        <v>0</v>
      </c>
      <c r="BQ38" s="73">
        <f t="shared" si="34"/>
        <v>0</v>
      </c>
      <c r="BR38" s="242" t="e">
        <f t="shared" si="35"/>
        <v>#DIV/0!</v>
      </c>
      <c r="BS38" s="75">
        <f t="shared" si="106"/>
        <v>0</v>
      </c>
      <c r="BT38" s="15">
        <f t="shared" si="107"/>
        <v>0</v>
      </c>
      <c r="BU38" s="15">
        <f t="shared" si="108"/>
        <v>0</v>
      </c>
      <c r="BV38" s="17">
        <f t="shared" si="109"/>
        <v>0</v>
      </c>
      <c r="BW38" s="72">
        <f t="shared" si="37"/>
        <v>0</v>
      </c>
      <c r="BX38" s="14">
        <f t="shared" si="38"/>
        <v>0</v>
      </c>
      <c r="BY38" s="15">
        <f t="shared" si="97"/>
        <v>0</v>
      </c>
      <c r="BZ38" s="14">
        <f t="shared" si="98"/>
        <v>0</v>
      </c>
      <c r="CA38" s="73">
        <f t="shared" si="39"/>
        <v>0</v>
      </c>
      <c r="CB38" s="192" t="e">
        <f t="shared" si="40"/>
        <v>#DIV/0!</v>
      </c>
      <c r="CC38" s="72" t="e">
        <f t="shared" si="41"/>
        <v>#DIV/0!</v>
      </c>
      <c r="CD38" s="14">
        <f t="shared" si="42"/>
        <v>0</v>
      </c>
      <c r="CE38" s="19">
        <f t="shared" si="99"/>
        <v>0</v>
      </c>
      <c r="CF38" s="19">
        <f t="shared" si="43"/>
        <v>0</v>
      </c>
      <c r="CG38" s="20" t="e">
        <f t="shared" si="44"/>
        <v>#DIV/0!</v>
      </c>
      <c r="CH38" s="20" t="e">
        <f t="shared" si="45"/>
        <v>#DIV/0!</v>
      </c>
      <c r="CI38" s="83" t="e">
        <f t="shared" si="100"/>
        <v>#DIV/0!</v>
      </c>
      <c r="CJ38" s="77" t="e">
        <f t="shared" si="46"/>
        <v>#DIV/0!</v>
      </c>
      <c r="CK38" s="2" t="e">
        <f t="shared" si="101"/>
        <v>#DIV/0!</v>
      </c>
      <c r="CL38" s="2" t="str">
        <f t="shared" si="47"/>
        <v/>
      </c>
      <c r="CM38" s="231" t="e">
        <f t="shared" si="102"/>
        <v>#DIV/0!</v>
      </c>
      <c r="CN38" s="233" t="e">
        <f t="shared" si="103"/>
        <v>#DIV/0!</v>
      </c>
      <c r="CO38" s="233">
        <f t="shared" si="104"/>
        <v>0</v>
      </c>
      <c r="CP38" s="2">
        <f t="shared" si="48"/>
        <v>1</v>
      </c>
      <c r="CQ38" s="2">
        <f t="shared" si="49"/>
        <v>1</v>
      </c>
      <c r="CR38" s="2" t="str">
        <f t="shared" si="50"/>
        <v/>
      </c>
      <c r="CS38" s="2">
        <f t="shared" si="51"/>
        <v>0</v>
      </c>
      <c r="CT38" s="191">
        <f t="shared" si="52"/>
        <v>0</v>
      </c>
      <c r="CU38" s="2" t="str">
        <f t="shared" si="53"/>
        <v>OK</v>
      </c>
      <c r="CV38" s="232">
        <f t="shared" si="54"/>
        <v>0.05</v>
      </c>
      <c r="CW38" s="191" t="e">
        <f t="shared" si="55"/>
        <v>#DIV/0!</v>
      </c>
      <c r="CX38" s="191" t="e">
        <f t="shared" si="56"/>
        <v>#DIV/0!</v>
      </c>
      <c r="CY38" s="191" t="e">
        <f t="shared" si="57"/>
        <v>#DIV/0!</v>
      </c>
      <c r="CZ38" s="191" t="e">
        <f t="shared" si="58"/>
        <v>#DIV/0!</v>
      </c>
      <c r="DA38" s="191">
        <f t="shared" si="59"/>
        <v>1</v>
      </c>
      <c r="DB38" s="191">
        <f t="shared" si="60"/>
        <v>0</v>
      </c>
      <c r="DC38" s="2" t="str">
        <f t="shared" si="61"/>
        <v>Soft</v>
      </c>
      <c r="DD38" s="2"/>
      <c r="DE38" s="2">
        <f t="shared" si="62"/>
        <v>0</v>
      </c>
      <c r="DF38" s="191" t="e">
        <f t="shared" si="63"/>
        <v>#DIV/0!</v>
      </c>
      <c r="DG38" s="191" t="e">
        <f t="shared" si="64"/>
        <v>#DIV/0!</v>
      </c>
      <c r="DH38" s="191" t="e">
        <f t="shared" si="65"/>
        <v>#DIV/0!</v>
      </c>
      <c r="DI38" s="191" t="e">
        <f t="shared" si="66"/>
        <v>#DIV/0!</v>
      </c>
      <c r="DJ38" s="191" t="e">
        <f t="shared" si="105"/>
        <v>#DIV/0!</v>
      </c>
      <c r="DK38" s="2"/>
      <c r="DL38" s="2"/>
      <c r="DM38" s="2"/>
      <c r="DN38" s="2">
        <f t="shared" si="67"/>
        <v>1</v>
      </c>
      <c r="DO38" s="191" t="e">
        <f t="shared" si="68"/>
        <v>#DIV/0!</v>
      </c>
      <c r="DP38" s="191" t="e">
        <f t="shared" si="69"/>
        <v>#DIV/0!</v>
      </c>
      <c r="DQ38" s="191" t="e">
        <f t="shared" si="70"/>
        <v>#DIV/0!</v>
      </c>
      <c r="DR38" s="191" t="e">
        <f t="shared" si="71"/>
        <v>#DIV/0!</v>
      </c>
      <c r="DS38" s="191" t="e">
        <f t="shared" si="72"/>
        <v>#DIV/0!</v>
      </c>
      <c r="DT38" s="191" t="e">
        <f t="shared" si="73"/>
        <v>#DIV/0!</v>
      </c>
      <c r="DU38" s="191">
        <f t="shared" si="74"/>
        <v>0</v>
      </c>
      <c r="DV38" s="2"/>
      <c r="DW38" s="2" t="b">
        <f t="shared" si="75"/>
        <v>1</v>
      </c>
      <c r="DX38" s="2" t="b">
        <f t="shared" si="76"/>
        <v>1</v>
      </c>
      <c r="DY38" s="2" t="b">
        <f t="shared" si="77"/>
        <v>1</v>
      </c>
      <c r="DZ38" s="2" t="b">
        <f t="shared" si="78"/>
        <v>1</v>
      </c>
      <c r="EA38" s="2" t="b">
        <f t="shared" si="79"/>
        <v>1</v>
      </c>
      <c r="EB38"/>
    </row>
    <row r="39" spans="1:132" s="108" customFormat="1" ht="18.5" thickBot="1" x14ac:dyDescent="0.45">
      <c r="A39" s="109"/>
      <c r="B39" s="88">
        <f t="shared" si="80"/>
        <v>20</v>
      </c>
      <c r="C39" s="118">
        <v>20</v>
      </c>
      <c r="D39" s="792"/>
      <c r="E39" s="798"/>
      <c r="F39" s="555"/>
      <c r="G39" s="556"/>
      <c r="H39" s="557"/>
      <c r="I39" s="558"/>
      <c r="J39" s="559"/>
      <c r="K39" s="560"/>
      <c r="L39" s="560"/>
      <c r="M39" s="560"/>
      <c r="N39" s="561"/>
      <c r="O39" s="562"/>
      <c r="P39" s="563"/>
      <c r="Q39" s="564"/>
      <c r="R39" s="565"/>
      <c r="S39" s="112" t="str">
        <f t="shared" si="2"/>
        <v/>
      </c>
      <c r="T39" s="113" t="str">
        <f t="shared" si="3"/>
        <v/>
      </c>
      <c r="U39" s="114">
        <f t="shared" si="4"/>
        <v>0</v>
      </c>
      <c r="V39" s="117" t="str">
        <f t="shared" si="5"/>
        <v/>
      </c>
      <c r="W39" s="234" t="str">
        <f t="shared" si="6"/>
        <v/>
      </c>
      <c r="X39" s="115">
        <f t="shared" si="7"/>
        <v>0</v>
      </c>
      <c r="Y39" s="116" t="str">
        <f t="shared" si="8"/>
        <v/>
      </c>
      <c r="Z39" s="111"/>
      <c r="AA39" s="2"/>
      <c r="AB39" s="2">
        <v>20</v>
      </c>
      <c r="AC39" s="22">
        <f t="shared" si="9"/>
        <v>20</v>
      </c>
      <c r="AD39" s="22">
        <f t="shared" si="81"/>
        <v>0</v>
      </c>
      <c r="AE39" s="22">
        <f t="shared" si="82"/>
        <v>0</v>
      </c>
      <c r="AF39" s="22"/>
      <c r="AG39" s="21">
        <f t="shared" si="83"/>
        <v>0</v>
      </c>
      <c r="AH39" s="6">
        <f t="shared" si="10"/>
        <v>0</v>
      </c>
      <c r="AI39" s="7">
        <f>IF(SUM(AH39:AH$99)=0,0,F39&gt;0)</f>
        <v>0</v>
      </c>
      <c r="AJ39" s="6">
        <f t="shared" si="11"/>
        <v>0</v>
      </c>
      <c r="AK39" s="7">
        <f>IF(SUM(AH39:AH$99)=0,0,AND(AI39=FALSE,AJ39=0,SUM(AJ39:AJ$99)&gt;0))</f>
        <v>0</v>
      </c>
      <c r="AL39" s="7">
        <f t="shared" si="84"/>
        <v>0</v>
      </c>
      <c r="AM39" s="7">
        <f t="shared" si="13"/>
        <v>0</v>
      </c>
      <c r="AN39" s="9">
        <f t="shared" si="14"/>
        <v>0</v>
      </c>
      <c r="AO39" s="9">
        <f t="shared" si="15"/>
        <v>0</v>
      </c>
      <c r="AP39" s="486">
        <f t="shared" si="16"/>
        <v>0</v>
      </c>
      <c r="AQ39" s="486">
        <f t="shared" si="85"/>
        <v>0</v>
      </c>
      <c r="AR39" s="7">
        <f t="shared" si="17"/>
        <v>0</v>
      </c>
      <c r="AS39" s="7" t="str">
        <f t="shared" si="86"/>
        <v/>
      </c>
      <c r="AT39" s="7">
        <f t="shared" si="18"/>
        <v>0</v>
      </c>
      <c r="AU39" s="485">
        <f t="shared" si="87"/>
        <v>0</v>
      </c>
      <c r="AV39" s="7">
        <f t="shared" si="19"/>
        <v>0</v>
      </c>
      <c r="AW39" s="7">
        <f t="shared" si="20"/>
        <v>0</v>
      </c>
      <c r="AX39" s="7">
        <f t="shared" si="21"/>
        <v>0</v>
      </c>
      <c r="AY39" s="484">
        <f t="shared" si="88"/>
        <v>0</v>
      </c>
      <c r="AZ39" s="7">
        <f t="shared" si="22"/>
        <v>0</v>
      </c>
      <c r="BA39" s="483">
        <f t="shared" si="89"/>
        <v>0</v>
      </c>
      <c r="BB39" s="487" t="str">
        <f t="shared" si="90"/>
        <v/>
      </c>
      <c r="BC39" s="487" t="str">
        <f t="shared" si="91"/>
        <v/>
      </c>
      <c r="BD39" s="7">
        <f t="shared" si="23"/>
        <v>0</v>
      </c>
      <c r="BE39" s="7">
        <f t="shared" si="24"/>
        <v>0</v>
      </c>
      <c r="BF39" s="7">
        <f t="shared" si="25"/>
        <v>0</v>
      </c>
      <c r="BG39" s="8" t="b">
        <f t="shared" si="26"/>
        <v>0</v>
      </c>
      <c r="BH39" s="235" t="str">
        <f t="shared" si="27"/>
        <v/>
      </c>
      <c r="BI39" s="75">
        <f t="shared" si="28"/>
        <v>0</v>
      </c>
      <c r="BJ39" s="15">
        <f t="shared" si="29"/>
        <v>0</v>
      </c>
      <c r="BK39" s="15">
        <f t="shared" si="92"/>
        <v>0</v>
      </c>
      <c r="BL39" s="18">
        <f t="shared" si="30"/>
        <v>0</v>
      </c>
      <c r="BM39" s="78">
        <f t="shared" si="31"/>
        <v>0</v>
      </c>
      <c r="BN39" s="14">
        <f t="shared" si="32"/>
        <v>0</v>
      </c>
      <c r="BO39" s="14">
        <f t="shared" si="33"/>
        <v>0</v>
      </c>
      <c r="BP39" s="15">
        <f t="shared" si="93"/>
        <v>0</v>
      </c>
      <c r="BQ39" s="73">
        <f t="shared" si="34"/>
        <v>0</v>
      </c>
      <c r="BR39" s="242" t="e">
        <f t="shared" si="35"/>
        <v>#DIV/0!</v>
      </c>
      <c r="BS39" s="75">
        <f t="shared" si="106"/>
        <v>0</v>
      </c>
      <c r="BT39" s="15">
        <f t="shared" si="107"/>
        <v>0</v>
      </c>
      <c r="BU39" s="15">
        <f t="shared" si="108"/>
        <v>0</v>
      </c>
      <c r="BV39" s="17">
        <f t="shared" si="109"/>
        <v>0</v>
      </c>
      <c r="BW39" s="72">
        <f t="shared" si="37"/>
        <v>0</v>
      </c>
      <c r="BX39" s="14">
        <f t="shared" si="38"/>
        <v>0</v>
      </c>
      <c r="BY39" s="15">
        <f t="shared" si="97"/>
        <v>0</v>
      </c>
      <c r="BZ39" s="14">
        <f t="shared" si="98"/>
        <v>0</v>
      </c>
      <c r="CA39" s="73">
        <f t="shared" si="39"/>
        <v>0</v>
      </c>
      <c r="CB39" s="192" t="e">
        <f t="shared" si="40"/>
        <v>#DIV/0!</v>
      </c>
      <c r="CC39" s="72" t="e">
        <f t="shared" si="41"/>
        <v>#DIV/0!</v>
      </c>
      <c r="CD39" s="14">
        <f t="shared" si="42"/>
        <v>0</v>
      </c>
      <c r="CE39" s="19">
        <f t="shared" si="99"/>
        <v>0</v>
      </c>
      <c r="CF39" s="19">
        <f t="shared" si="43"/>
        <v>0</v>
      </c>
      <c r="CG39" s="20" t="e">
        <f t="shared" si="44"/>
        <v>#DIV/0!</v>
      </c>
      <c r="CH39" s="20" t="e">
        <f t="shared" si="45"/>
        <v>#DIV/0!</v>
      </c>
      <c r="CI39" s="83" t="e">
        <f t="shared" si="100"/>
        <v>#DIV/0!</v>
      </c>
      <c r="CJ39" s="77" t="e">
        <f t="shared" si="46"/>
        <v>#DIV/0!</v>
      </c>
      <c r="CK39" s="2" t="e">
        <f t="shared" si="101"/>
        <v>#DIV/0!</v>
      </c>
      <c r="CL39" s="2" t="str">
        <f t="shared" si="47"/>
        <v/>
      </c>
      <c r="CM39" s="231" t="e">
        <f t="shared" si="102"/>
        <v>#DIV/0!</v>
      </c>
      <c r="CN39" s="233" t="e">
        <f t="shared" si="103"/>
        <v>#DIV/0!</v>
      </c>
      <c r="CO39" s="233">
        <f t="shared" si="104"/>
        <v>0</v>
      </c>
      <c r="CP39" s="2">
        <f t="shared" si="48"/>
        <v>1</v>
      </c>
      <c r="CQ39" s="2">
        <f t="shared" si="49"/>
        <v>1</v>
      </c>
      <c r="CR39" s="2" t="str">
        <f t="shared" si="50"/>
        <v/>
      </c>
      <c r="CS39" s="2">
        <f t="shared" si="51"/>
        <v>0</v>
      </c>
      <c r="CT39" s="191">
        <f t="shared" si="52"/>
        <v>0</v>
      </c>
      <c r="CU39" s="2" t="str">
        <f t="shared" si="53"/>
        <v>OK</v>
      </c>
      <c r="CV39" s="232">
        <f t="shared" si="54"/>
        <v>0.05</v>
      </c>
      <c r="CW39" s="191" t="e">
        <f t="shared" si="55"/>
        <v>#DIV/0!</v>
      </c>
      <c r="CX39" s="191" t="e">
        <f t="shared" si="56"/>
        <v>#DIV/0!</v>
      </c>
      <c r="CY39" s="191" t="e">
        <f t="shared" si="57"/>
        <v>#DIV/0!</v>
      </c>
      <c r="CZ39" s="191" t="e">
        <f t="shared" si="58"/>
        <v>#DIV/0!</v>
      </c>
      <c r="DA39" s="191">
        <f t="shared" si="59"/>
        <v>1</v>
      </c>
      <c r="DB39" s="191">
        <f t="shared" si="60"/>
        <v>0</v>
      </c>
      <c r="DC39" s="2" t="str">
        <f t="shared" si="61"/>
        <v>Soft</v>
      </c>
      <c r="DD39" s="2"/>
      <c r="DE39" s="2">
        <f t="shared" si="62"/>
        <v>0</v>
      </c>
      <c r="DF39" s="191" t="e">
        <f t="shared" si="63"/>
        <v>#DIV/0!</v>
      </c>
      <c r="DG39" s="191" t="e">
        <f t="shared" si="64"/>
        <v>#DIV/0!</v>
      </c>
      <c r="DH39" s="191" t="e">
        <f t="shared" si="65"/>
        <v>#DIV/0!</v>
      </c>
      <c r="DI39" s="191" t="e">
        <f t="shared" si="66"/>
        <v>#DIV/0!</v>
      </c>
      <c r="DJ39" s="191" t="e">
        <f t="shared" si="105"/>
        <v>#DIV/0!</v>
      </c>
      <c r="DK39" s="2"/>
      <c r="DL39" s="2"/>
      <c r="DM39" s="2"/>
      <c r="DN39" s="2">
        <f t="shared" si="67"/>
        <v>1</v>
      </c>
      <c r="DO39" s="191" t="e">
        <f t="shared" si="68"/>
        <v>#DIV/0!</v>
      </c>
      <c r="DP39" s="191" t="e">
        <f t="shared" si="69"/>
        <v>#DIV/0!</v>
      </c>
      <c r="DQ39" s="191" t="e">
        <f t="shared" si="70"/>
        <v>#DIV/0!</v>
      </c>
      <c r="DR39" s="191" t="e">
        <f t="shared" si="71"/>
        <v>#DIV/0!</v>
      </c>
      <c r="DS39" s="191" t="e">
        <f t="shared" si="72"/>
        <v>#DIV/0!</v>
      </c>
      <c r="DT39" s="191" t="e">
        <f t="shared" si="73"/>
        <v>#DIV/0!</v>
      </c>
      <c r="DU39" s="191">
        <f t="shared" si="74"/>
        <v>0</v>
      </c>
      <c r="DV39" s="2"/>
      <c r="DW39" s="2" t="b">
        <f t="shared" si="75"/>
        <v>1</v>
      </c>
      <c r="DX39" s="2" t="b">
        <f t="shared" si="76"/>
        <v>1</v>
      </c>
      <c r="DY39" s="2" t="b">
        <f t="shared" si="77"/>
        <v>1</v>
      </c>
      <c r="DZ39" s="2" t="b">
        <f t="shared" si="78"/>
        <v>1</v>
      </c>
      <c r="EA39" s="2" t="b">
        <f t="shared" si="79"/>
        <v>1</v>
      </c>
      <c r="EB39"/>
    </row>
    <row r="40" spans="1:132" s="108" customFormat="1" ht="18.5" hidden="1" thickBot="1" x14ac:dyDescent="0.45">
      <c r="A40" s="109"/>
      <c r="B40" s="88" t="str">
        <f t="shared" si="80"/>
        <v>-</v>
      </c>
      <c r="C40" s="118">
        <v>21</v>
      </c>
      <c r="D40" s="792"/>
      <c r="E40" s="798"/>
      <c r="F40" s="555"/>
      <c r="G40" s="556"/>
      <c r="H40" s="557"/>
      <c r="I40" s="558"/>
      <c r="J40" s="559"/>
      <c r="K40" s="560"/>
      <c r="L40" s="560"/>
      <c r="M40" s="560"/>
      <c r="N40" s="561"/>
      <c r="O40" s="562"/>
      <c r="P40" s="563"/>
      <c r="Q40" s="564"/>
      <c r="R40" s="565"/>
      <c r="S40" s="112" t="str">
        <f t="shared" si="2"/>
        <v/>
      </c>
      <c r="T40" s="113" t="str">
        <f t="shared" si="3"/>
        <v/>
      </c>
      <c r="U40" s="114">
        <f t="shared" si="4"/>
        <v>0</v>
      </c>
      <c r="V40" s="117" t="str">
        <f t="shared" si="5"/>
        <v/>
      </c>
      <c r="W40" s="234" t="str">
        <f t="shared" si="6"/>
        <v/>
      </c>
      <c r="X40" s="115">
        <f t="shared" si="7"/>
        <v>0</v>
      </c>
      <c r="Y40" s="116" t="str">
        <f t="shared" si="8"/>
        <v/>
      </c>
      <c r="Z40" s="111"/>
      <c r="AA40" s="2"/>
      <c r="AB40" s="2">
        <v>21</v>
      </c>
      <c r="AC40" s="22" t="str">
        <f t="shared" si="9"/>
        <v>-</v>
      </c>
      <c r="AD40" s="22">
        <f t="shared" si="81"/>
        <v>0</v>
      </c>
      <c r="AE40" s="22">
        <f t="shared" si="82"/>
        <v>0</v>
      </c>
      <c r="AF40" s="22"/>
      <c r="AG40" s="21">
        <f t="shared" si="83"/>
        <v>0</v>
      </c>
      <c r="AH40" s="6">
        <f t="shared" si="10"/>
        <v>0</v>
      </c>
      <c r="AI40" s="7">
        <f>IF(SUM(AH40:AH$99)=0,0,F40&gt;0)</f>
        <v>0</v>
      </c>
      <c r="AJ40" s="6">
        <f t="shared" si="11"/>
        <v>0</v>
      </c>
      <c r="AK40" s="7">
        <f>IF(SUM(AH40:AH$99)=0,0,AND(AI40=FALSE,AJ40=0,SUM(AJ40:AJ$99)&gt;0))</f>
        <v>0</v>
      </c>
      <c r="AL40" s="7">
        <f t="shared" si="84"/>
        <v>0</v>
      </c>
      <c r="AM40" s="7">
        <f t="shared" si="13"/>
        <v>0</v>
      </c>
      <c r="AN40" s="9">
        <f t="shared" si="14"/>
        <v>0</v>
      </c>
      <c r="AO40" s="9">
        <f t="shared" si="15"/>
        <v>0</v>
      </c>
      <c r="AP40" s="486">
        <f t="shared" si="16"/>
        <v>0</v>
      </c>
      <c r="AQ40" s="486">
        <f t="shared" si="85"/>
        <v>0</v>
      </c>
      <c r="AR40" s="7">
        <f t="shared" si="17"/>
        <v>0</v>
      </c>
      <c r="AS40" s="7" t="str">
        <f t="shared" si="86"/>
        <v/>
      </c>
      <c r="AT40" s="7">
        <f t="shared" si="18"/>
        <v>0</v>
      </c>
      <c r="AU40" s="485">
        <f t="shared" si="87"/>
        <v>0</v>
      </c>
      <c r="AV40" s="7">
        <f t="shared" si="19"/>
        <v>0</v>
      </c>
      <c r="AW40" s="7">
        <f t="shared" si="20"/>
        <v>0</v>
      </c>
      <c r="AX40" s="7">
        <f t="shared" si="21"/>
        <v>0</v>
      </c>
      <c r="AY40" s="484">
        <f t="shared" si="88"/>
        <v>0</v>
      </c>
      <c r="AZ40" s="7">
        <f t="shared" si="22"/>
        <v>0</v>
      </c>
      <c r="BA40" s="483">
        <f t="shared" si="89"/>
        <v>0</v>
      </c>
      <c r="BB40" s="487" t="str">
        <f t="shared" si="90"/>
        <v/>
      </c>
      <c r="BC40" s="487" t="str">
        <f t="shared" si="91"/>
        <v/>
      </c>
      <c r="BD40" s="7">
        <f t="shared" si="23"/>
        <v>0</v>
      </c>
      <c r="BE40" s="7">
        <f t="shared" si="24"/>
        <v>0</v>
      </c>
      <c r="BF40" s="7">
        <f t="shared" si="25"/>
        <v>0</v>
      </c>
      <c r="BG40" s="8" t="b">
        <f t="shared" si="26"/>
        <v>0</v>
      </c>
      <c r="BH40" s="235" t="str">
        <f t="shared" si="27"/>
        <v/>
      </c>
      <c r="BI40" s="75">
        <f t="shared" si="28"/>
        <v>0</v>
      </c>
      <c r="BJ40" s="15">
        <f t="shared" si="29"/>
        <v>0</v>
      </c>
      <c r="BK40" s="15">
        <f t="shared" si="92"/>
        <v>0</v>
      </c>
      <c r="BL40" s="18">
        <f t="shared" si="30"/>
        <v>0</v>
      </c>
      <c r="BM40" s="78">
        <f t="shared" si="31"/>
        <v>0</v>
      </c>
      <c r="BN40" s="14">
        <f t="shared" si="32"/>
        <v>0</v>
      </c>
      <c r="BO40" s="14">
        <f t="shared" si="33"/>
        <v>0</v>
      </c>
      <c r="BP40" s="15">
        <f t="shared" si="93"/>
        <v>0</v>
      </c>
      <c r="BQ40" s="73">
        <f t="shared" si="34"/>
        <v>0</v>
      </c>
      <c r="BR40" s="242" t="e">
        <f t="shared" si="35"/>
        <v>#DIV/0!</v>
      </c>
      <c r="BS40" s="75">
        <f t="shared" si="106"/>
        <v>0</v>
      </c>
      <c r="BT40" s="15">
        <f t="shared" si="107"/>
        <v>0</v>
      </c>
      <c r="BU40" s="15">
        <f t="shared" si="108"/>
        <v>0</v>
      </c>
      <c r="BV40" s="17">
        <f t="shared" si="109"/>
        <v>0</v>
      </c>
      <c r="BW40" s="72">
        <f t="shared" si="37"/>
        <v>0</v>
      </c>
      <c r="BX40" s="14">
        <f t="shared" si="38"/>
        <v>0</v>
      </c>
      <c r="BY40" s="15">
        <f t="shared" si="97"/>
        <v>0</v>
      </c>
      <c r="BZ40" s="14">
        <f t="shared" si="98"/>
        <v>0</v>
      </c>
      <c r="CA40" s="73">
        <f t="shared" si="39"/>
        <v>0</v>
      </c>
      <c r="CB40" s="192" t="e">
        <f t="shared" si="40"/>
        <v>#DIV/0!</v>
      </c>
      <c r="CC40" s="72" t="e">
        <f t="shared" si="41"/>
        <v>#DIV/0!</v>
      </c>
      <c r="CD40" s="14">
        <f t="shared" si="42"/>
        <v>0</v>
      </c>
      <c r="CE40" s="19">
        <f t="shared" si="99"/>
        <v>0</v>
      </c>
      <c r="CF40" s="19">
        <f t="shared" si="43"/>
        <v>0</v>
      </c>
      <c r="CG40" s="20" t="e">
        <f t="shared" si="44"/>
        <v>#DIV/0!</v>
      </c>
      <c r="CH40" s="20" t="e">
        <f t="shared" si="45"/>
        <v>#DIV/0!</v>
      </c>
      <c r="CI40" s="83" t="e">
        <f t="shared" si="100"/>
        <v>#DIV/0!</v>
      </c>
      <c r="CJ40" s="77" t="e">
        <f t="shared" si="46"/>
        <v>#DIV/0!</v>
      </c>
      <c r="CK40" s="2" t="e">
        <f t="shared" si="101"/>
        <v>#DIV/0!</v>
      </c>
      <c r="CL40" s="2" t="str">
        <f t="shared" si="47"/>
        <v/>
      </c>
      <c r="CM40" s="231" t="e">
        <f t="shared" si="102"/>
        <v>#DIV/0!</v>
      </c>
      <c r="CN40" s="233" t="e">
        <f t="shared" si="103"/>
        <v>#DIV/0!</v>
      </c>
      <c r="CO40" s="233">
        <f t="shared" si="104"/>
        <v>0</v>
      </c>
      <c r="CP40" s="2">
        <f t="shared" si="48"/>
        <v>1</v>
      </c>
      <c r="CQ40" s="2">
        <f t="shared" si="49"/>
        <v>1</v>
      </c>
      <c r="CR40" s="2" t="str">
        <f t="shared" si="50"/>
        <v/>
      </c>
      <c r="CS40" s="2">
        <f t="shared" si="51"/>
        <v>0</v>
      </c>
      <c r="CT40" s="191">
        <f t="shared" si="52"/>
        <v>0</v>
      </c>
      <c r="CU40" s="2" t="str">
        <f t="shared" si="53"/>
        <v>OK</v>
      </c>
      <c r="CV40" s="232">
        <f t="shared" si="54"/>
        <v>0.05</v>
      </c>
      <c r="CW40" s="191" t="e">
        <f t="shared" si="55"/>
        <v>#DIV/0!</v>
      </c>
      <c r="CX40" s="191" t="e">
        <f t="shared" si="56"/>
        <v>#DIV/0!</v>
      </c>
      <c r="CY40" s="191" t="e">
        <f t="shared" si="57"/>
        <v>#DIV/0!</v>
      </c>
      <c r="CZ40" s="191" t="e">
        <f t="shared" si="58"/>
        <v>#DIV/0!</v>
      </c>
      <c r="DA40" s="191">
        <f t="shared" si="59"/>
        <v>1</v>
      </c>
      <c r="DB40" s="191">
        <f t="shared" si="60"/>
        <v>0</v>
      </c>
      <c r="DC40" s="2" t="str">
        <f t="shared" si="61"/>
        <v>Soft</v>
      </c>
      <c r="DD40" s="2"/>
      <c r="DE40" s="2">
        <f t="shared" si="62"/>
        <v>0</v>
      </c>
      <c r="DF40" s="191" t="e">
        <f t="shared" si="63"/>
        <v>#DIV/0!</v>
      </c>
      <c r="DG40" s="191" t="e">
        <f t="shared" si="64"/>
        <v>#DIV/0!</v>
      </c>
      <c r="DH40" s="191" t="e">
        <f t="shared" si="65"/>
        <v>#DIV/0!</v>
      </c>
      <c r="DI40" s="191" t="e">
        <f t="shared" si="66"/>
        <v>#DIV/0!</v>
      </c>
      <c r="DJ40" s="191" t="e">
        <f t="shared" si="105"/>
        <v>#DIV/0!</v>
      </c>
      <c r="DK40" s="2"/>
      <c r="DL40" s="2"/>
      <c r="DM40" s="2"/>
      <c r="DN40" s="2">
        <f t="shared" si="67"/>
        <v>1</v>
      </c>
      <c r="DO40" s="191" t="e">
        <f t="shared" si="68"/>
        <v>#DIV/0!</v>
      </c>
      <c r="DP40" s="191" t="e">
        <f t="shared" si="69"/>
        <v>#DIV/0!</v>
      </c>
      <c r="DQ40" s="191" t="e">
        <f t="shared" si="70"/>
        <v>#DIV/0!</v>
      </c>
      <c r="DR40" s="191" t="e">
        <f t="shared" si="71"/>
        <v>#DIV/0!</v>
      </c>
      <c r="DS40" s="191" t="e">
        <f t="shared" si="72"/>
        <v>#DIV/0!</v>
      </c>
      <c r="DT40" s="191" t="e">
        <f t="shared" si="73"/>
        <v>#DIV/0!</v>
      </c>
      <c r="DU40" s="191">
        <f t="shared" si="74"/>
        <v>0</v>
      </c>
      <c r="DV40" s="2"/>
      <c r="DW40" s="2" t="b">
        <f t="shared" si="75"/>
        <v>1</v>
      </c>
      <c r="DX40" s="2" t="b">
        <f t="shared" si="76"/>
        <v>1</v>
      </c>
      <c r="DY40" s="2" t="b">
        <f t="shared" si="77"/>
        <v>1</v>
      </c>
      <c r="DZ40" s="2" t="b">
        <f t="shared" si="78"/>
        <v>1</v>
      </c>
      <c r="EA40" s="2" t="b">
        <f t="shared" si="79"/>
        <v>1</v>
      </c>
      <c r="EB40"/>
    </row>
    <row r="41" spans="1:132" s="108" customFormat="1" ht="18.5" hidden="1" thickBot="1" x14ac:dyDescent="0.45">
      <c r="A41" s="109"/>
      <c r="B41" s="88" t="str">
        <f t="shared" si="80"/>
        <v>-</v>
      </c>
      <c r="C41" s="118">
        <v>22</v>
      </c>
      <c r="D41" s="792"/>
      <c r="E41" s="798"/>
      <c r="F41" s="555"/>
      <c r="G41" s="556"/>
      <c r="H41" s="557"/>
      <c r="I41" s="558"/>
      <c r="J41" s="559"/>
      <c r="K41" s="560"/>
      <c r="L41" s="560"/>
      <c r="M41" s="560"/>
      <c r="N41" s="561"/>
      <c r="O41" s="562"/>
      <c r="P41" s="563"/>
      <c r="Q41" s="564"/>
      <c r="R41" s="565"/>
      <c r="S41" s="112" t="str">
        <f t="shared" si="2"/>
        <v/>
      </c>
      <c r="T41" s="113" t="str">
        <f t="shared" si="3"/>
        <v/>
      </c>
      <c r="U41" s="114">
        <f t="shared" si="4"/>
        <v>0</v>
      </c>
      <c r="V41" s="117" t="str">
        <f t="shared" si="5"/>
        <v/>
      </c>
      <c r="W41" s="234" t="str">
        <f t="shared" si="6"/>
        <v/>
      </c>
      <c r="X41" s="115">
        <f t="shared" si="7"/>
        <v>0</v>
      </c>
      <c r="Y41" s="116" t="str">
        <f t="shared" si="8"/>
        <v/>
      </c>
      <c r="Z41" s="111"/>
      <c r="AA41" s="2"/>
      <c r="AB41" s="2">
        <v>22</v>
      </c>
      <c r="AC41" s="22" t="str">
        <f t="shared" si="9"/>
        <v>-</v>
      </c>
      <c r="AD41" s="22">
        <f t="shared" si="81"/>
        <v>0</v>
      </c>
      <c r="AE41" s="22">
        <f t="shared" si="82"/>
        <v>0</v>
      </c>
      <c r="AF41" s="22"/>
      <c r="AG41" s="21">
        <f t="shared" si="83"/>
        <v>0</v>
      </c>
      <c r="AH41" s="6">
        <f t="shared" si="10"/>
        <v>0</v>
      </c>
      <c r="AI41" s="7">
        <f>IF(SUM(AH41:AH$99)=0,0,F41&gt;0)</f>
        <v>0</v>
      </c>
      <c r="AJ41" s="6">
        <f t="shared" si="11"/>
        <v>0</v>
      </c>
      <c r="AK41" s="7">
        <f>IF(SUM(AH41:AH$99)=0,0,AND(AI41=FALSE,AJ41=0,SUM(AJ41:AJ$99)&gt;0))</f>
        <v>0</v>
      </c>
      <c r="AL41" s="7">
        <f t="shared" si="84"/>
        <v>0</v>
      </c>
      <c r="AM41" s="7">
        <f t="shared" si="13"/>
        <v>0</v>
      </c>
      <c r="AN41" s="9">
        <f t="shared" si="14"/>
        <v>0</v>
      </c>
      <c r="AO41" s="9">
        <f t="shared" si="15"/>
        <v>0</v>
      </c>
      <c r="AP41" s="486">
        <f t="shared" si="16"/>
        <v>0</v>
      </c>
      <c r="AQ41" s="486">
        <f t="shared" si="85"/>
        <v>0</v>
      </c>
      <c r="AR41" s="7">
        <f t="shared" si="17"/>
        <v>0</v>
      </c>
      <c r="AS41" s="7" t="str">
        <f t="shared" si="86"/>
        <v/>
      </c>
      <c r="AT41" s="7">
        <f t="shared" si="18"/>
        <v>0</v>
      </c>
      <c r="AU41" s="485">
        <f t="shared" si="87"/>
        <v>0</v>
      </c>
      <c r="AV41" s="7">
        <f t="shared" si="19"/>
        <v>0</v>
      </c>
      <c r="AW41" s="7">
        <f t="shared" si="20"/>
        <v>0</v>
      </c>
      <c r="AX41" s="7">
        <f t="shared" si="21"/>
        <v>0</v>
      </c>
      <c r="AY41" s="484">
        <f t="shared" si="88"/>
        <v>0</v>
      </c>
      <c r="AZ41" s="7">
        <f t="shared" si="22"/>
        <v>0</v>
      </c>
      <c r="BA41" s="483">
        <f t="shared" si="89"/>
        <v>0</v>
      </c>
      <c r="BB41" s="487" t="str">
        <f t="shared" si="90"/>
        <v/>
      </c>
      <c r="BC41" s="487" t="str">
        <f t="shared" si="91"/>
        <v/>
      </c>
      <c r="BD41" s="7">
        <f t="shared" si="23"/>
        <v>0</v>
      </c>
      <c r="BE41" s="7">
        <f t="shared" si="24"/>
        <v>0</v>
      </c>
      <c r="BF41" s="7">
        <f t="shared" si="25"/>
        <v>0</v>
      </c>
      <c r="BG41" s="8" t="b">
        <f t="shared" si="26"/>
        <v>0</v>
      </c>
      <c r="BH41" s="235" t="str">
        <f t="shared" si="27"/>
        <v/>
      </c>
      <c r="BI41" s="75">
        <f t="shared" si="28"/>
        <v>0</v>
      </c>
      <c r="BJ41" s="15">
        <f t="shared" si="29"/>
        <v>0</v>
      </c>
      <c r="BK41" s="15">
        <f t="shared" si="92"/>
        <v>0</v>
      </c>
      <c r="BL41" s="18">
        <f t="shared" si="30"/>
        <v>0</v>
      </c>
      <c r="BM41" s="78">
        <f t="shared" si="31"/>
        <v>0</v>
      </c>
      <c r="BN41" s="14">
        <f t="shared" si="32"/>
        <v>0</v>
      </c>
      <c r="BO41" s="14">
        <f t="shared" si="33"/>
        <v>0</v>
      </c>
      <c r="BP41" s="15">
        <f t="shared" si="93"/>
        <v>0</v>
      </c>
      <c r="BQ41" s="73">
        <f t="shared" si="34"/>
        <v>0</v>
      </c>
      <c r="BR41" s="242" t="e">
        <f t="shared" si="35"/>
        <v>#DIV/0!</v>
      </c>
      <c r="BS41" s="75">
        <f t="shared" si="106"/>
        <v>0</v>
      </c>
      <c r="BT41" s="15">
        <f t="shared" si="107"/>
        <v>0</v>
      </c>
      <c r="BU41" s="15">
        <f t="shared" si="108"/>
        <v>0</v>
      </c>
      <c r="BV41" s="17">
        <f t="shared" si="109"/>
        <v>0</v>
      </c>
      <c r="BW41" s="72">
        <f t="shared" si="37"/>
        <v>0</v>
      </c>
      <c r="BX41" s="14">
        <f t="shared" si="38"/>
        <v>0</v>
      </c>
      <c r="BY41" s="15">
        <f t="shared" si="97"/>
        <v>0</v>
      </c>
      <c r="BZ41" s="14">
        <f t="shared" si="98"/>
        <v>0</v>
      </c>
      <c r="CA41" s="73">
        <f t="shared" si="39"/>
        <v>0</v>
      </c>
      <c r="CB41" s="192" t="e">
        <f t="shared" si="40"/>
        <v>#DIV/0!</v>
      </c>
      <c r="CC41" s="72" t="e">
        <f t="shared" si="41"/>
        <v>#DIV/0!</v>
      </c>
      <c r="CD41" s="14">
        <f t="shared" si="42"/>
        <v>0</v>
      </c>
      <c r="CE41" s="19">
        <f t="shared" si="99"/>
        <v>0</v>
      </c>
      <c r="CF41" s="19">
        <f t="shared" si="43"/>
        <v>0</v>
      </c>
      <c r="CG41" s="20" t="e">
        <f t="shared" si="44"/>
        <v>#DIV/0!</v>
      </c>
      <c r="CH41" s="20" t="e">
        <f t="shared" si="45"/>
        <v>#DIV/0!</v>
      </c>
      <c r="CI41" s="83" t="e">
        <f t="shared" si="100"/>
        <v>#DIV/0!</v>
      </c>
      <c r="CJ41" s="77" t="e">
        <f t="shared" si="46"/>
        <v>#DIV/0!</v>
      </c>
      <c r="CK41" s="2" t="e">
        <f t="shared" si="101"/>
        <v>#DIV/0!</v>
      </c>
      <c r="CL41" s="2" t="str">
        <f t="shared" si="47"/>
        <v/>
      </c>
      <c r="CM41" s="231" t="e">
        <f t="shared" si="102"/>
        <v>#DIV/0!</v>
      </c>
      <c r="CN41" s="233" t="e">
        <f t="shared" si="103"/>
        <v>#DIV/0!</v>
      </c>
      <c r="CO41" s="233">
        <f t="shared" si="104"/>
        <v>0</v>
      </c>
      <c r="CP41" s="2">
        <f t="shared" si="48"/>
        <v>1</v>
      </c>
      <c r="CQ41" s="2">
        <f t="shared" si="49"/>
        <v>1</v>
      </c>
      <c r="CR41" s="2" t="str">
        <f t="shared" si="50"/>
        <v/>
      </c>
      <c r="CS41" s="2">
        <f t="shared" si="51"/>
        <v>0</v>
      </c>
      <c r="CT41" s="191">
        <f t="shared" si="52"/>
        <v>0</v>
      </c>
      <c r="CU41" s="2" t="str">
        <f t="shared" si="53"/>
        <v>OK</v>
      </c>
      <c r="CV41" s="232">
        <f t="shared" si="54"/>
        <v>0.05</v>
      </c>
      <c r="CW41" s="191" t="e">
        <f t="shared" si="55"/>
        <v>#DIV/0!</v>
      </c>
      <c r="CX41" s="191" t="e">
        <f t="shared" si="56"/>
        <v>#DIV/0!</v>
      </c>
      <c r="CY41" s="191" t="e">
        <f t="shared" si="57"/>
        <v>#DIV/0!</v>
      </c>
      <c r="CZ41" s="191" t="e">
        <f t="shared" si="58"/>
        <v>#DIV/0!</v>
      </c>
      <c r="DA41" s="191">
        <f t="shared" si="59"/>
        <v>1</v>
      </c>
      <c r="DB41" s="191">
        <f t="shared" si="60"/>
        <v>0</v>
      </c>
      <c r="DC41" s="2" t="str">
        <f t="shared" si="61"/>
        <v>Soft</v>
      </c>
      <c r="DD41" s="2"/>
      <c r="DE41" s="2">
        <f t="shared" si="62"/>
        <v>0</v>
      </c>
      <c r="DF41" s="191" t="e">
        <f t="shared" si="63"/>
        <v>#DIV/0!</v>
      </c>
      <c r="DG41" s="191" t="e">
        <f t="shared" si="64"/>
        <v>#DIV/0!</v>
      </c>
      <c r="DH41" s="191" t="e">
        <f t="shared" si="65"/>
        <v>#DIV/0!</v>
      </c>
      <c r="DI41" s="191" t="e">
        <f t="shared" si="66"/>
        <v>#DIV/0!</v>
      </c>
      <c r="DJ41" s="191" t="e">
        <f t="shared" si="105"/>
        <v>#DIV/0!</v>
      </c>
      <c r="DK41" s="2"/>
      <c r="DL41" s="2"/>
      <c r="DM41" s="2"/>
      <c r="DN41" s="2">
        <f t="shared" si="67"/>
        <v>1</v>
      </c>
      <c r="DO41" s="191" t="e">
        <f t="shared" si="68"/>
        <v>#DIV/0!</v>
      </c>
      <c r="DP41" s="191" t="e">
        <f t="shared" si="69"/>
        <v>#DIV/0!</v>
      </c>
      <c r="DQ41" s="191" t="e">
        <f t="shared" si="70"/>
        <v>#DIV/0!</v>
      </c>
      <c r="DR41" s="191" t="e">
        <f t="shared" si="71"/>
        <v>#DIV/0!</v>
      </c>
      <c r="DS41" s="191" t="e">
        <f t="shared" si="72"/>
        <v>#DIV/0!</v>
      </c>
      <c r="DT41" s="191" t="e">
        <f t="shared" si="73"/>
        <v>#DIV/0!</v>
      </c>
      <c r="DU41" s="191">
        <f t="shared" si="74"/>
        <v>0</v>
      </c>
      <c r="DV41" s="2"/>
      <c r="DW41" s="2" t="b">
        <f t="shared" si="75"/>
        <v>1</v>
      </c>
      <c r="DX41" s="2" t="b">
        <f t="shared" si="76"/>
        <v>1</v>
      </c>
      <c r="DY41" s="2" t="b">
        <f t="shared" si="77"/>
        <v>1</v>
      </c>
      <c r="DZ41" s="2" t="b">
        <f t="shared" si="78"/>
        <v>1</v>
      </c>
      <c r="EA41" s="2" t="b">
        <f t="shared" si="79"/>
        <v>1</v>
      </c>
      <c r="EB41"/>
    </row>
    <row r="42" spans="1:132" s="108" customFormat="1" ht="18.5" hidden="1" thickBot="1" x14ac:dyDescent="0.45">
      <c r="A42" s="109"/>
      <c r="B42" s="88" t="str">
        <f t="shared" si="80"/>
        <v>-</v>
      </c>
      <c r="C42" s="118">
        <v>23</v>
      </c>
      <c r="D42" s="792"/>
      <c r="E42" s="793"/>
      <c r="F42" s="555"/>
      <c r="G42" s="556"/>
      <c r="H42" s="557"/>
      <c r="I42" s="558"/>
      <c r="J42" s="559"/>
      <c r="K42" s="560"/>
      <c r="L42" s="560"/>
      <c r="M42" s="560"/>
      <c r="N42" s="561"/>
      <c r="O42" s="562"/>
      <c r="P42" s="563"/>
      <c r="Q42" s="564"/>
      <c r="R42" s="565"/>
      <c r="S42" s="112" t="str">
        <f t="shared" si="2"/>
        <v/>
      </c>
      <c r="T42" s="113" t="str">
        <f t="shared" si="3"/>
        <v/>
      </c>
      <c r="U42" s="114">
        <f t="shared" si="4"/>
        <v>0</v>
      </c>
      <c r="V42" s="117" t="str">
        <f t="shared" si="5"/>
        <v/>
      </c>
      <c r="W42" s="234" t="str">
        <f t="shared" si="6"/>
        <v/>
      </c>
      <c r="X42" s="115">
        <f t="shared" si="7"/>
        <v>0</v>
      </c>
      <c r="Y42" s="116" t="str">
        <f t="shared" si="8"/>
        <v/>
      </c>
      <c r="Z42" s="111"/>
      <c r="AA42" s="2"/>
      <c r="AB42" s="2">
        <v>23</v>
      </c>
      <c r="AC42" s="22" t="str">
        <f t="shared" si="9"/>
        <v>-</v>
      </c>
      <c r="AD42" s="22">
        <f t="shared" si="81"/>
        <v>0</v>
      </c>
      <c r="AE42" s="22">
        <f t="shared" si="82"/>
        <v>0</v>
      </c>
      <c r="AF42" s="22"/>
      <c r="AG42" s="21">
        <f t="shared" si="83"/>
        <v>0</v>
      </c>
      <c r="AH42" s="6">
        <f t="shared" si="10"/>
        <v>0</v>
      </c>
      <c r="AI42" s="7">
        <f>IF(SUM(AH42:AH$99)=0,0,F42&gt;0)</f>
        <v>0</v>
      </c>
      <c r="AJ42" s="6">
        <f t="shared" si="11"/>
        <v>0</v>
      </c>
      <c r="AK42" s="7">
        <f>IF(SUM(AH42:AH$99)=0,0,AND(AI42=FALSE,AJ42=0,SUM(AJ42:AJ$99)&gt;0))</f>
        <v>0</v>
      </c>
      <c r="AL42" s="7">
        <f t="shared" si="84"/>
        <v>0</v>
      </c>
      <c r="AM42" s="7">
        <f t="shared" si="13"/>
        <v>0</v>
      </c>
      <c r="AN42" s="9">
        <f t="shared" si="14"/>
        <v>0</v>
      </c>
      <c r="AO42" s="9">
        <f t="shared" si="15"/>
        <v>0</v>
      </c>
      <c r="AP42" s="486">
        <f t="shared" si="16"/>
        <v>0</v>
      </c>
      <c r="AQ42" s="486">
        <f t="shared" si="85"/>
        <v>0</v>
      </c>
      <c r="AR42" s="7">
        <f t="shared" si="17"/>
        <v>0</v>
      </c>
      <c r="AS42" s="7" t="str">
        <f t="shared" si="86"/>
        <v/>
      </c>
      <c r="AT42" s="7">
        <f t="shared" si="18"/>
        <v>0</v>
      </c>
      <c r="AU42" s="485">
        <f t="shared" si="87"/>
        <v>0</v>
      </c>
      <c r="AV42" s="7">
        <f t="shared" si="19"/>
        <v>0</v>
      </c>
      <c r="AW42" s="7">
        <f t="shared" si="20"/>
        <v>0</v>
      </c>
      <c r="AX42" s="7">
        <f t="shared" si="21"/>
        <v>0</v>
      </c>
      <c r="AY42" s="484">
        <f t="shared" si="88"/>
        <v>0</v>
      </c>
      <c r="AZ42" s="7">
        <f t="shared" si="22"/>
        <v>0</v>
      </c>
      <c r="BA42" s="483">
        <f t="shared" si="89"/>
        <v>0</v>
      </c>
      <c r="BB42" s="487" t="str">
        <f t="shared" si="90"/>
        <v/>
      </c>
      <c r="BC42" s="487" t="str">
        <f t="shared" si="91"/>
        <v/>
      </c>
      <c r="BD42" s="7">
        <f t="shared" si="23"/>
        <v>0</v>
      </c>
      <c r="BE42" s="7">
        <f t="shared" si="24"/>
        <v>0</v>
      </c>
      <c r="BF42" s="7">
        <f t="shared" si="25"/>
        <v>0</v>
      </c>
      <c r="BG42" s="8" t="b">
        <f t="shared" si="26"/>
        <v>0</v>
      </c>
      <c r="BH42" s="235" t="str">
        <f t="shared" si="27"/>
        <v/>
      </c>
      <c r="BI42" s="75">
        <f t="shared" si="28"/>
        <v>0</v>
      </c>
      <c r="BJ42" s="15">
        <f t="shared" si="29"/>
        <v>0</v>
      </c>
      <c r="BK42" s="15">
        <f t="shared" si="92"/>
        <v>0</v>
      </c>
      <c r="BL42" s="18">
        <f t="shared" si="30"/>
        <v>0</v>
      </c>
      <c r="BM42" s="78">
        <f t="shared" si="31"/>
        <v>0</v>
      </c>
      <c r="BN42" s="14">
        <f t="shared" si="32"/>
        <v>0</v>
      </c>
      <c r="BO42" s="14">
        <f t="shared" si="33"/>
        <v>0</v>
      </c>
      <c r="BP42" s="15">
        <f t="shared" si="93"/>
        <v>0</v>
      </c>
      <c r="BQ42" s="73">
        <f t="shared" si="34"/>
        <v>0</v>
      </c>
      <c r="BR42" s="242" t="e">
        <f t="shared" si="35"/>
        <v>#DIV/0!</v>
      </c>
      <c r="BS42" s="75">
        <f t="shared" si="106"/>
        <v>0</v>
      </c>
      <c r="BT42" s="15">
        <f t="shared" si="107"/>
        <v>0</v>
      </c>
      <c r="BU42" s="15">
        <f t="shared" si="108"/>
        <v>0</v>
      </c>
      <c r="BV42" s="17">
        <f t="shared" si="109"/>
        <v>0</v>
      </c>
      <c r="BW42" s="72">
        <f t="shared" si="37"/>
        <v>0</v>
      </c>
      <c r="BX42" s="14">
        <f t="shared" si="38"/>
        <v>0</v>
      </c>
      <c r="BY42" s="15">
        <f t="shared" si="97"/>
        <v>0</v>
      </c>
      <c r="BZ42" s="14">
        <f t="shared" si="98"/>
        <v>0</v>
      </c>
      <c r="CA42" s="73">
        <f t="shared" si="39"/>
        <v>0</v>
      </c>
      <c r="CB42" s="192" t="e">
        <f t="shared" si="40"/>
        <v>#DIV/0!</v>
      </c>
      <c r="CC42" s="72" t="e">
        <f t="shared" si="41"/>
        <v>#DIV/0!</v>
      </c>
      <c r="CD42" s="14">
        <f t="shared" si="42"/>
        <v>0</v>
      </c>
      <c r="CE42" s="19">
        <f t="shared" si="99"/>
        <v>0</v>
      </c>
      <c r="CF42" s="19">
        <f t="shared" si="43"/>
        <v>0</v>
      </c>
      <c r="CG42" s="20" t="e">
        <f t="shared" si="44"/>
        <v>#DIV/0!</v>
      </c>
      <c r="CH42" s="20" t="e">
        <f t="shared" si="45"/>
        <v>#DIV/0!</v>
      </c>
      <c r="CI42" s="83" t="e">
        <f t="shared" si="100"/>
        <v>#DIV/0!</v>
      </c>
      <c r="CJ42" s="77" t="e">
        <f t="shared" si="46"/>
        <v>#DIV/0!</v>
      </c>
      <c r="CK42" s="2" t="e">
        <f t="shared" si="101"/>
        <v>#DIV/0!</v>
      </c>
      <c r="CL42" s="2" t="str">
        <f t="shared" si="47"/>
        <v/>
      </c>
      <c r="CM42" s="231" t="e">
        <f t="shared" si="102"/>
        <v>#DIV/0!</v>
      </c>
      <c r="CN42" s="233" t="e">
        <f t="shared" si="103"/>
        <v>#DIV/0!</v>
      </c>
      <c r="CO42" s="233">
        <f t="shared" si="104"/>
        <v>0</v>
      </c>
      <c r="CP42" s="2">
        <f t="shared" si="48"/>
        <v>1</v>
      </c>
      <c r="CQ42" s="2">
        <f t="shared" si="49"/>
        <v>1</v>
      </c>
      <c r="CR42" s="2" t="str">
        <f t="shared" si="50"/>
        <v/>
      </c>
      <c r="CS42" s="2">
        <f t="shared" si="51"/>
        <v>0</v>
      </c>
      <c r="CT42" s="191">
        <f t="shared" si="52"/>
        <v>0</v>
      </c>
      <c r="CU42" s="2" t="str">
        <f t="shared" si="53"/>
        <v>OK</v>
      </c>
      <c r="CV42" s="232">
        <f t="shared" si="54"/>
        <v>0.05</v>
      </c>
      <c r="CW42" s="191" t="e">
        <f t="shared" si="55"/>
        <v>#DIV/0!</v>
      </c>
      <c r="CX42" s="191" t="e">
        <f t="shared" si="56"/>
        <v>#DIV/0!</v>
      </c>
      <c r="CY42" s="191" t="e">
        <f t="shared" si="57"/>
        <v>#DIV/0!</v>
      </c>
      <c r="CZ42" s="191" t="e">
        <f t="shared" si="58"/>
        <v>#DIV/0!</v>
      </c>
      <c r="DA42" s="191">
        <f t="shared" si="59"/>
        <v>1</v>
      </c>
      <c r="DB42" s="191">
        <f t="shared" si="60"/>
        <v>0</v>
      </c>
      <c r="DC42" s="2" t="str">
        <f t="shared" si="61"/>
        <v>Soft</v>
      </c>
      <c r="DD42" s="2"/>
      <c r="DE42" s="2">
        <f t="shared" si="62"/>
        <v>0</v>
      </c>
      <c r="DF42" s="191" t="e">
        <f t="shared" si="63"/>
        <v>#DIV/0!</v>
      </c>
      <c r="DG42" s="191" t="e">
        <f t="shared" si="64"/>
        <v>#DIV/0!</v>
      </c>
      <c r="DH42" s="191" t="e">
        <f t="shared" si="65"/>
        <v>#DIV/0!</v>
      </c>
      <c r="DI42" s="191" t="e">
        <f t="shared" si="66"/>
        <v>#DIV/0!</v>
      </c>
      <c r="DJ42" s="191" t="e">
        <f t="shared" si="105"/>
        <v>#DIV/0!</v>
      </c>
      <c r="DK42" s="2"/>
      <c r="DL42" s="2"/>
      <c r="DM42" s="2"/>
      <c r="DN42" s="2">
        <f t="shared" si="67"/>
        <v>1</v>
      </c>
      <c r="DO42" s="191" t="e">
        <f t="shared" si="68"/>
        <v>#DIV/0!</v>
      </c>
      <c r="DP42" s="191" t="e">
        <f t="shared" si="69"/>
        <v>#DIV/0!</v>
      </c>
      <c r="DQ42" s="191" t="e">
        <f t="shared" si="70"/>
        <v>#DIV/0!</v>
      </c>
      <c r="DR42" s="191" t="e">
        <f t="shared" si="71"/>
        <v>#DIV/0!</v>
      </c>
      <c r="DS42" s="191" t="e">
        <f t="shared" si="72"/>
        <v>#DIV/0!</v>
      </c>
      <c r="DT42" s="191" t="e">
        <f t="shared" si="73"/>
        <v>#DIV/0!</v>
      </c>
      <c r="DU42" s="191">
        <f t="shared" si="74"/>
        <v>0</v>
      </c>
      <c r="DV42" s="2"/>
      <c r="DW42" s="2" t="b">
        <f t="shared" si="75"/>
        <v>1</v>
      </c>
      <c r="DX42" s="2" t="b">
        <f t="shared" si="76"/>
        <v>1</v>
      </c>
      <c r="DY42" s="2" t="b">
        <f t="shared" si="77"/>
        <v>1</v>
      </c>
      <c r="DZ42" s="2" t="b">
        <f t="shared" si="78"/>
        <v>1</v>
      </c>
      <c r="EA42" s="2" t="b">
        <f t="shared" si="79"/>
        <v>1</v>
      </c>
      <c r="EB42"/>
    </row>
    <row r="43" spans="1:132" s="108" customFormat="1" ht="18.5" hidden="1" thickBot="1" x14ac:dyDescent="0.45">
      <c r="A43" s="109"/>
      <c r="B43" s="88" t="str">
        <f t="shared" si="80"/>
        <v>-</v>
      </c>
      <c r="C43" s="118">
        <v>24</v>
      </c>
      <c r="D43" s="792"/>
      <c r="E43" s="793"/>
      <c r="F43" s="555"/>
      <c r="G43" s="556"/>
      <c r="H43" s="557"/>
      <c r="I43" s="558"/>
      <c r="J43" s="559"/>
      <c r="K43" s="560"/>
      <c r="L43" s="560"/>
      <c r="M43" s="560"/>
      <c r="N43" s="561"/>
      <c r="O43" s="562"/>
      <c r="P43" s="563"/>
      <c r="Q43" s="564"/>
      <c r="R43" s="565"/>
      <c r="S43" s="112" t="str">
        <f t="shared" si="2"/>
        <v/>
      </c>
      <c r="T43" s="113" t="str">
        <f t="shared" si="3"/>
        <v/>
      </c>
      <c r="U43" s="114">
        <f t="shared" si="4"/>
        <v>0</v>
      </c>
      <c r="V43" s="117" t="str">
        <f t="shared" si="5"/>
        <v/>
      </c>
      <c r="W43" s="234" t="str">
        <f t="shared" si="6"/>
        <v/>
      </c>
      <c r="X43" s="115">
        <f t="shared" si="7"/>
        <v>0</v>
      </c>
      <c r="Y43" s="116" t="str">
        <f t="shared" si="8"/>
        <v/>
      </c>
      <c r="Z43" s="111"/>
      <c r="AA43" s="2"/>
      <c r="AB43" s="2">
        <v>24</v>
      </c>
      <c r="AC43" s="22" t="str">
        <f t="shared" si="9"/>
        <v>-</v>
      </c>
      <c r="AD43" s="22">
        <f t="shared" si="81"/>
        <v>0</v>
      </c>
      <c r="AE43" s="22">
        <f t="shared" si="82"/>
        <v>0</v>
      </c>
      <c r="AF43" s="22"/>
      <c r="AG43" s="21">
        <f t="shared" si="83"/>
        <v>0</v>
      </c>
      <c r="AH43" s="6">
        <f t="shared" si="10"/>
        <v>0</v>
      </c>
      <c r="AI43" s="7">
        <f>IF(SUM(AH43:AH$99)=0,0,F43&gt;0)</f>
        <v>0</v>
      </c>
      <c r="AJ43" s="6">
        <f t="shared" si="11"/>
        <v>0</v>
      </c>
      <c r="AK43" s="7">
        <f>IF(SUM(AH43:AH$99)=0,0,AND(AI43=FALSE,AJ43=0,SUM(AJ43:AJ$99)&gt;0))</f>
        <v>0</v>
      </c>
      <c r="AL43" s="7">
        <f t="shared" si="84"/>
        <v>0</v>
      </c>
      <c r="AM43" s="7">
        <f t="shared" si="13"/>
        <v>0</v>
      </c>
      <c r="AN43" s="9">
        <f t="shared" si="14"/>
        <v>0</v>
      </c>
      <c r="AO43" s="9">
        <f t="shared" si="15"/>
        <v>0</v>
      </c>
      <c r="AP43" s="486">
        <f t="shared" si="16"/>
        <v>0</v>
      </c>
      <c r="AQ43" s="486">
        <f t="shared" si="85"/>
        <v>0</v>
      </c>
      <c r="AR43" s="7">
        <f t="shared" si="17"/>
        <v>0</v>
      </c>
      <c r="AS43" s="7" t="str">
        <f t="shared" si="86"/>
        <v/>
      </c>
      <c r="AT43" s="7">
        <f t="shared" si="18"/>
        <v>0</v>
      </c>
      <c r="AU43" s="485">
        <f t="shared" si="87"/>
        <v>0</v>
      </c>
      <c r="AV43" s="7">
        <f t="shared" si="19"/>
        <v>0</v>
      </c>
      <c r="AW43" s="7">
        <f t="shared" si="20"/>
        <v>0</v>
      </c>
      <c r="AX43" s="7">
        <f t="shared" si="21"/>
        <v>0</v>
      </c>
      <c r="AY43" s="484">
        <f t="shared" si="88"/>
        <v>0</v>
      </c>
      <c r="AZ43" s="7">
        <f t="shared" si="22"/>
        <v>0</v>
      </c>
      <c r="BA43" s="483">
        <f t="shared" si="89"/>
        <v>0</v>
      </c>
      <c r="BB43" s="487" t="str">
        <f t="shared" si="90"/>
        <v/>
      </c>
      <c r="BC43" s="487" t="str">
        <f t="shared" si="91"/>
        <v/>
      </c>
      <c r="BD43" s="7">
        <f t="shared" si="23"/>
        <v>0</v>
      </c>
      <c r="BE43" s="7">
        <f t="shared" si="24"/>
        <v>0</v>
      </c>
      <c r="BF43" s="7">
        <f t="shared" si="25"/>
        <v>0</v>
      </c>
      <c r="BG43" s="8" t="b">
        <f t="shared" si="26"/>
        <v>0</v>
      </c>
      <c r="BH43" s="235" t="str">
        <f t="shared" si="27"/>
        <v/>
      </c>
      <c r="BI43" s="75">
        <f t="shared" si="28"/>
        <v>0</v>
      </c>
      <c r="BJ43" s="15">
        <f t="shared" si="29"/>
        <v>0</v>
      </c>
      <c r="BK43" s="15">
        <f t="shared" si="92"/>
        <v>0</v>
      </c>
      <c r="BL43" s="18">
        <f t="shared" si="30"/>
        <v>0</v>
      </c>
      <c r="BM43" s="78">
        <f t="shared" si="31"/>
        <v>0</v>
      </c>
      <c r="BN43" s="14">
        <f t="shared" si="32"/>
        <v>0</v>
      </c>
      <c r="BO43" s="14">
        <f t="shared" si="33"/>
        <v>0</v>
      </c>
      <c r="BP43" s="15">
        <f t="shared" si="93"/>
        <v>0</v>
      </c>
      <c r="BQ43" s="73">
        <f t="shared" si="34"/>
        <v>0</v>
      </c>
      <c r="BR43" s="242" t="e">
        <f t="shared" si="35"/>
        <v>#DIV/0!</v>
      </c>
      <c r="BS43" s="75">
        <f t="shared" si="106"/>
        <v>0</v>
      </c>
      <c r="BT43" s="15">
        <f t="shared" si="107"/>
        <v>0</v>
      </c>
      <c r="BU43" s="15">
        <f t="shared" si="108"/>
        <v>0</v>
      </c>
      <c r="BV43" s="17">
        <f t="shared" si="109"/>
        <v>0</v>
      </c>
      <c r="BW43" s="72">
        <f t="shared" si="37"/>
        <v>0</v>
      </c>
      <c r="BX43" s="14">
        <f t="shared" si="38"/>
        <v>0</v>
      </c>
      <c r="BY43" s="15">
        <f t="shared" si="97"/>
        <v>0</v>
      </c>
      <c r="BZ43" s="14">
        <f t="shared" si="98"/>
        <v>0</v>
      </c>
      <c r="CA43" s="73">
        <f t="shared" si="39"/>
        <v>0</v>
      </c>
      <c r="CB43" s="192" t="e">
        <f t="shared" si="40"/>
        <v>#DIV/0!</v>
      </c>
      <c r="CC43" s="72" t="e">
        <f t="shared" si="41"/>
        <v>#DIV/0!</v>
      </c>
      <c r="CD43" s="14">
        <f t="shared" si="42"/>
        <v>0</v>
      </c>
      <c r="CE43" s="19">
        <f t="shared" si="99"/>
        <v>0</v>
      </c>
      <c r="CF43" s="19">
        <f t="shared" si="43"/>
        <v>0</v>
      </c>
      <c r="CG43" s="20" t="e">
        <f t="shared" si="44"/>
        <v>#DIV/0!</v>
      </c>
      <c r="CH43" s="20" t="e">
        <f t="shared" si="45"/>
        <v>#DIV/0!</v>
      </c>
      <c r="CI43" s="83" t="e">
        <f t="shared" si="100"/>
        <v>#DIV/0!</v>
      </c>
      <c r="CJ43" s="77" t="e">
        <f t="shared" si="46"/>
        <v>#DIV/0!</v>
      </c>
      <c r="CK43" s="2" t="e">
        <f t="shared" si="101"/>
        <v>#DIV/0!</v>
      </c>
      <c r="CL43" s="2" t="str">
        <f t="shared" si="47"/>
        <v/>
      </c>
      <c r="CM43" s="231" t="e">
        <f t="shared" si="102"/>
        <v>#DIV/0!</v>
      </c>
      <c r="CN43" s="233" t="e">
        <f t="shared" si="103"/>
        <v>#DIV/0!</v>
      </c>
      <c r="CO43" s="233">
        <f t="shared" si="104"/>
        <v>0</v>
      </c>
      <c r="CP43" s="2">
        <f t="shared" si="48"/>
        <v>1</v>
      </c>
      <c r="CQ43" s="2">
        <f t="shared" si="49"/>
        <v>1</v>
      </c>
      <c r="CR43" s="2" t="str">
        <f t="shared" si="50"/>
        <v/>
      </c>
      <c r="CS43" s="2">
        <f t="shared" si="51"/>
        <v>0</v>
      </c>
      <c r="CT43" s="191">
        <f t="shared" si="52"/>
        <v>0</v>
      </c>
      <c r="CU43" s="2" t="str">
        <f t="shared" si="53"/>
        <v>OK</v>
      </c>
      <c r="CV43" s="232">
        <f t="shared" si="54"/>
        <v>0.05</v>
      </c>
      <c r="CW43" s="191" t="e">
        <f t="shared" si="55"/>
        <v>#DIV/0!</v>
      </c>
      <c r="CX43" s="191" t="e">
        <f t="shared" si="56"/>
        <v>#DIV/0!</v>
      </c>
      <c r="CY43" s="191" t="e">
        <f t="shared" si="57"/>
        <v>#DIV/0!</v>
      </c>
      <c r="CZ43" s="191" t="e">
        <f t="shared" si="58"/>
        <v>#DIV/0!</v>
      </c>
      <c r="DA43" s="191">
        <f t="shared" si="59"/>
        <v>1</v>
      </c>
      <c r="DB43" s="191">
        <f t="shared" si="60"/>
        <v>0</v>
      </c>
      <c r="DC43" s="2" t="str">
        <f t="shared" si="61"/>
        <v>Soft</v>
      </c>
      <c r="DD43" s="2"/>
      <c r="DE43" s="2">
        <f t="shared" si="62"/>
        <v>0</v>
      </c>
      <c r="DF43" s="191" t="e">
        <f t="shared" si="63"/>
        <v>#DIV/0!</v>
      </c>
      <c r="DG43" s="191" t="e">
        <f t="shared" si="64"/>
        <v>#DIV/0!</v>
      </c>
      <c r="DH43" s="191" t="e">
        <f t="shared" si="65"/>
        <v>#DIV/0!</v>
      </c>
      <c r="DI43" s="191" t="e">
        <f t="shared" si="66"/>
        <v>#DIV/0!</v>
      </c>
      <c r="DJ43" s="191" t="e">
        <f t="shared" si="105"/>
        <v>#DIV/0!</v>
      </c>
      <c r="DK43" s="2"/>
      <c r="DL43" s="2"/>
      <c r="DM43" s="2"/>
      <c r="DN43" s="2">
        <f t="shared" si="67"/>
        <v>1</v>
      </c>
      <c r="DO43" s="191" t="e">
        <f t="shared" si="68"/>
        <v>#DIV/0!</v>
      </c>
      <c r="DP43" s="191" t="e">
        <f t="shared" si="69"/>
        <v>#DIV/0!</v>
      </c>
      <c r="DQ43" s="191" t="e">
        <f t="shared" si="70"/>
        <v>#DIV/0!</v>
      </c>
      <c r="DR43" s="191" t="e">
        <f t="shared" si="71"/>
        <v>#DIV/0!</v>
      </c>
      <c r="DS43" s="191" t="e">
        <f t="shared" si="72"/>
        <v>#DIV/0!</v>
      </c>
      <c r="DT43" s="191" t="e">
        <f t="shared" si="73"/>
        <v>#DIV/0!</v>
      </c>
      <c r="DU43" s="191">
        <f t="shared" si="74"/>
        <v>0</v>
      </c>
      <c r="DV43" s="2"/>
      <c r="DW43" s="2" t="b">
        <f t="shared" si="75"/>
        <v>1</v>
      </c>
      <c r="DX43" s="2" t="b">
        <f t="shared" si="76"/>
        <v>1</v>
      </c>
      <c r="DY43" s="2" t="b">
        <f t="shared" si="77"/>
        <v>1</v>
      </c>
      <c r="DZ43" s="2" t="b">
        <f t="shared" si="78"/>
        <v>1</v>
      </c>
      <c r="EA43" s="2" t="b">
        <f t="shared" si="79"/>
        <v>1</v>
      </c>
      <c r="EB43"/>
    </row>
    <row r="44" spans="1:132" s="108" customFormat="1" ht="18.5" hidden="1" thickBot="1" x14ac:dyDescent="0.45">
      <c r="A44" s="109"/>
      <c r="B44" s="88" t="str">
        <f t="shared" si="80"/>
        <v>-</v>
      </c>
      <c r="C44" s="118">
        <v>25</v>
      </c>
      <c r="D44" s="792"/>
      <c r="E44" s="793"/>
      <c r="F44" s="555"/>
      <c r="G44" s="556"/>
      <c r="H44" s="557"/>
      <c r="I44" s="558"/>
      <c r="J44" s="559"/>
      <c r="K44" s="560"/>
      <c r="L44" s="560"/>
      <c r="M44" s="560"/>
      <c r="N44" s="561"/>
      <c r="O44" s="562"/>
      <c r="P44" s="563"/>
      <c r="Q44" s="564"/>
      <c r="R44" s="565"/>
      <c r="S44" s="112" t="str">
        <f t="shared" si="2"/>
        <v/>
      </c>
      <c r="T44" s="113" t="str">
        <f t="shared" si="3"/>
        <v/>
      </c>
      <c r="U44" s="114">
        <f t="shared" si="4"/>
        <v>0</v>
      </c>
      <c r="V44" s="117" t="str">
        <f t="shared" si="5"/>
        <v/>
      </c>
      <c r="W44" s="234" t="str">
        <f t="shared" si="6"/>
        <v/>
      </c>
      <c r="X44" s="115">
        <f t="shared" si="7"/>
        <v>0</v>
      </c>
      <c r="Y44" s="116" t="str">
        <f t="shared" si="8"/>
        <v/>
      </c>
      <c r="Z44" s="111"/>
      <c r="AA44" s="2"/>
      <c r="AB44" s="2">
        <v>25</v>
      </c>
      <c r="AC44" s="22" t="str">
        <f t="shared" si="9"/>
        <v>-</v>
      </c>
      <c r="AD44" s="22">
        <f t="shared" si="81"/>
        <v>0</v>
      </c>
      <c r="AE44" s="22">
        <f t="shared" si="82"/>
        <v>0</v>
      </c>
      <c r="AF44" s="22"/>
      <c r="AG44" s="21">
        <f t="shared" si="83"/>
        <v>0</v>
      </c>
      <c r="AH44" s="6">
        <f t="shared" si="10"/>
        <v>0</v>
      </c>
      <c r="AI44" s="7">
        <f>IF(SUM(AH44:AH$99)=0,0,F44&gt;0)</f>
        <v>0</v>
      </c>
      <c r="AJ44" s="6">
        <f t="shared" si="11"/>
        <v>0</v>
      </c>
      <c r="AK44" s="7">
        <f>IF(SUM(AH44:AH$99)=0,0,AND(AI44=FALSE,AJ44=0,SUM(AJ44:AJ$99)&gt;0))</f>
        <v>0</v>
      </c>
      <c r="AL44" s="7">
        <f t="shared" si="84"/>
        <v>0</v>
      </c>
      <c r="AM44" s="7">
        <f t="shared" si="13"/>
        <v>0</v>
      </c>
      <c r="AN44" s="9">
        <f t="shared" si="14"/>
        <v>0</v>
      </c>
      <c r="AO44" s="9">
        <f t="shared" si="15"/>
        <v>0</v>
      </c>
      <c r="AP44" s="486">
        <f t="shared" si="16"/>
        <v>0</v>
      </c>
      <c r="AQ44" s="486">
        <f t="shared" si="85"/>
        <v>0</v>
      </c>
      <c r="AR44" s="7">
        <f t="shared" si="17"/>
        <v>0</v>
      </c>
      <c r="AS44" s="7" t="str">
        <f t="shared" si="86"/>
        <v/>
      </c>
      <c r="AT44" s="7">
        <f t="shared" si="18"/>
        <v>0</v>
      </c>
      <c r="AU44" s="485">
        <f t="shared" si="87"/>
        <v>0</v>
      </c>
      <c r="AV44" s="7">
        <f t="shared" si="19"/>
        <v>0</v>
      </c>
      <c r="AW44" s="7">
        <f t="shared" si="20"/>
        <v>0</v>
      </c>
      <c r="AX44" s="7">
        <f t="shared" si="21"/>
        <v>0</v>
      </c>
      <c r="AY44" s="484">
        <f t="shared" si="88"/>
        <v>0</v>
      </c>
      <c r="AZ44" s="7">
        <f t="shared" si="22"/>
        <v>0</v>
      </c>
      <c r="BA44" s="483">
        <f t="shared" si="89"/>
        <v>0</v>
      </c>
      <c r="BB44" s="487" t="str">
        <f t="shared" si="90"/>
        <v/>
      </c>
      <c r="BC44" s="487" t="str">
        <f t="shared" si="91"/>
        <v/>
      </c>
      <c r="BD44" s="7">
        <f t="shared" si="23"/>
        <v>0</v>
      </c>
      <c r="BE44" s="7">
        <f t="shared" si="24"/>
        <v>0</v>
      </c>
      <c r="BF44" s="7">
        <f t="shared" si="25"/>
        <v>0</v>
      </c>
      <c r="BG44" s="8" t="b">
        <f t="shared" si="26"/>
        <v>0</v>
      </c>
      <c r="BH44" s="235" t="str">
        <f t="shared" si="27"/>
        <v/>
      </c>
      <c r="BI44" s="75">
        <f t="shared" si="28"/>
        <v>0</v>
      </c>
      <c r="BJ44" s="15">
        <f t="shared" si="29"/>
        <v>0</v>
      </c>
      <c r="BK44" s="15">
        <f t="shared" si="92"/>
        <v>0</v>
      </c>
      <c r="BL44" s="18">
        <f t="shared" si="30"/>
        <v>0</v>
      </c>
      <c r="BM44" s="78">
        <f t="shared" si="31"/>
        <v>0</v>
      </c>
      <c r="BN44" s="14">
        <f t="shared" si="32"/>
        <v>0</v>
      </c>
      <c r="BO44" s="14">
        <f t="shared" si="33"/>
        <v>0</v>
      </c>
      <c r="BP44" s="15">
        <f t="shared" si="93"/>
        <v>0</v>
      </c>
      <c r="BQ44" s="73">
        <f t="shared" si="34"/>
        <v>0</v>
      </c>
      <c r="BR44" s="242" t="e">
        <f t="shared" si="35"/>
        <v>#DIV/0!</v>
      </c>
      <c r="BS44" s="75">
        <f t="shared" si="106"/>
        <v>0</v>
      </c>
      <c r="BT44" s="15">
        <f t="shared" si="107"/>
        <v>0</v>
      </c>
      <c r="BU44" s="15">
        <f t="shared" si="108"/>
        <v>0</v>
      </c>
      <c r="BV44" s="17">
        <f t="shared" si="109"/>
        <v>0</v>
      </c>
      <c r="BW44" s="72">
        <f t="shared" si="37"/>
        <v>0</v>
      </c>
      <c r="BX44" s="14">
        <f t="shared" si="38"/>
        <v>0</v>
      </c>
      <c r="BY44" s="15">
        <f t="shared" si="97"/>
        <v>0</v>
      </c>
      <c r="BZ44" s="14">
        <f t="shared" si="98"/>
        <v>0</v>
      </c>
      <c r="CA44" s="73">
        <f t="shared" si="39"/>
        <v>0</v>
      </c>
      <c r="CB44" s="192" t="e">
        <f t="shared" si="40"/>
        <v>#DIV/0!</v>
      </c>
      <c r="CC44" s="72" t="e">
        <f t="shared" si="41"/>
        <v>#DIV/0!</v>
      </c>
      <c r="CD44" s="14">
        <f t="shared" si="42"/>
        <v>0</v>
      </c>
      <c r="CE44" s="19">
        <f t="shared" si="99"/>
        <v>0</v>
      </c>
      <c r="CF44" s="19">
        <f t="shared" si="43"/>
        <v>0</v>
      </c>
      <c r="CG44" s="20" t="e">
        <f t="shared" si="44"/>
        <v>#DIV/0!</v>
      </c>
      <c r="CH44" s="20" t="e">
        <f t="shared" si="45"/>
        <v>#DIV/0!</v>
      </c>
      <c r="CI44" s="83" t="e">
        <f t="shared" si="100"/>
        <v>#DIV/0!</v>
      </c>
      <c r="CJ44" s="77" t="e">
        <f t="shared" si="46"/>
        <v>#DIV/0!</v>
      </c>
      <c r="CK44" s="2" t="e">
        <f t="shared" si="101"/>
        <v>#DIV/0!</v>
      </c>
      <c r="CL44" s="2" t="str">
        <f t="shared" si="47"/>
        <v/>
      </c>
      <c r="CM44" s="231" t="e">
        <f t="shared" si="102"/>
        <v>#DIV/0!</v>
      </c>
      <c r="CN44" s="233" t="e">
        <f t="shared" si="103"/>
        <v>#DIV/0!</v>
      </c>
      <c r="CO44" s="233">
        <f t="shared" si="104"/>
        <v>0</v>
      </c>
      <c r="CP44" s="2">
        <f t="shared" si="48"/>
        <v>1</v>
      </c>
      <c r="CQ44" s="2">
        <f t="shared" si="49"/>
        <v>1</v>
      </c>
      <c r="CR44" s="2" t="str">
        <f t="shared" si="50"/>
        <v/>
      </c>
      <c r="CS44" s="2">
        <f t="shared" si="51"/>
        <v>0</v>
      </c>
      <c r="CT44" s="191">
        <f t="shared" si="52"/>
        <v>0</v>
      </c>
      <c r="CU44" s="2" t="str">
        <f t="shared" si="53"/>
        <v>OK</v>
      </c>
      <c r="CV44" s="232">
        <f t="shared" si="54"/>
        <v>0.05</v>
      </c>
      <c r="CW44" s="191" t="e">
        <f t="shared" si="55"/>
        <v>#DIV/0!</v>
      </c>
      <c r="CX44" s="191" t="e">
        <f t="shared" si="56"/>
        <v>#DIV/0!</v>
      </c>
      <c r="CY44" s="191" t="e">
        <f t="shared" si="57"/>
        <v>#DIV/0!</v>
      </c>
      <c r="CZ44" s="191" t="e">
        <f t="shared" si="58"/>
        <v>#DIV/0!</v>
      </c>
      <c r="DA44" s="191">
        <f t="shared" si="59"/>
        <v>1</v>
      </c>
      <c r="DB44" s="191">
        <f t="shared" si="60"/>
        <v>0</v>
      </c>
      <c r="DC44" s="2" t="str">
        <f t="shared" si="61"/>
        <v>Soft</v>
      </c>
      <c r="DD44" s="2"/>
      <c r="DE44" s="2">
        <f t="shared" si="62"/>
        <v>0</v>
      </c>
      <c r="DF44" s="191" t="e">
        <f t="shared" si="63"/>
        <v>#DIV/0!</v>
      </c>
      <c r="DG44" s="191" t="e">
        <f t="shared" si="64"/>
        <v>#DIV/0!</v>
      </c>
      <c r="DH44" s="191" t="e">
        <f t="shared" si="65"/>
        <v>#DIV/0!</v>
      </c>
      <c r="DI44" s="191" t="e">
        <f t="shared" si="66"/>
        <v>#DIV/0!</v>
      </c>
      <c r="DJ44" s="191" t="e">
        <f t="shared" si="105"/>
        <v>#DIV/0!</v>
      </c>
      <c r="DK44" s="2"/>
      <c r="DL44" s="2"/>
      <c r="DM44" s="2"/>
      <c r="DN44" s="2">
        <f t="shared" si="67"/>
        <v>1</v>
      </c>
      <c r="DO44" s="191" t="e">
        <f t="shared" si="68"/>
        <v>#DIV/0!</v>
      </c>
      <c r="DP44" s="191" t="e">
        <f t="shared" si="69"/>
        <v>#DIV/0!</v>
      </c>
      <c r="DQ44" s="191" t="e">
        <f t="shared" si="70"/>
        <v>#DIV/0!</v>
      </c>
      <c r="DR44" s="191" t="e">
        <f t="shared" si="71"/>
        <v>#DIV/0!</v>
      </c>
      <c r="DS44" s="191" t="e">
        <f t="shared" si="72"/>
        <v>#DIV/0!</v>
      </c>
      <c r="DT44" s="191" t="e">
        <f t="shared" si="73"/>
        <v>#DIV/0!</v>
      </c>
      <c r="DU44" s="191">
        <f t="shared" si="74"/>
        <v>0</v>
      </c>
      <c r="DV44" s="2"/>
      <c r="DW44" s="2" t="b">
        <f t="shared" si="75"/>
        <v>1</v>
      </c>
      <c r="DX44" s="2" t="b">
        <f t="shared" si="76"/>
        <v>1</v>
      </c>
      <c r="DY44" s="2" t="b">
        <f t="shared" si="77"/>
        <v>1</v>
      </c>
      <c r="DZ44" s="2" t="b">
        <f t="shared" si="78"/>
        <v>1</v>
      </c>
      <c r="EA44" s="2" t="b">
        <f t="shared" si="79"/>
        <v>1</v>
      </c>
      <c r="EB44"/>
    </row>
    <row r="45" spans="1:132" s="108" customFormat="1" ht="18.5" hidden="1" thickBot="1" x14ac:dyDescent="0.45">
      <c r="A45" s="109"/>
      <c r="B45" s="88" t="str">
        <f t="shared" si="80"/>
        <v>-</v>
      </c>
      <c r="C45" s="118">
        <v>26</v>
      </c>
      <c r="D45" s="792"/>
      <c r="E45" s="798"/>
      <c r="F45" s="555"/>
      <c r="G45" s="556"/>
      <c r="H45" s="557"/>
      <c r="I45" s="558"/>
      <c r="J45" s="559"/>
      <c r="K45" s="560"/>
      <c r="L45" s="560"/>
      <c r="M45" s="560"/>
      <c r="N45" s="561"/>
      <c r="O45" s="562"/>
      <c r="P45" s="563"/>
      <c r="Q45" s="564"/>
      <c r="R45" s="565"/>
      <c r="S45" s="112" t="str">
        <f t="shared" si="2"/>
        <v/>
      </c>
      <c r="T45" s="113" t="str">
        <f t="shared" si="3"/>
        <v/>
      </c>
      <c r="U45" s="114">
        <f t="shared" si="4"/>
        <v>0</v>
      </c>
      <c r="V45" s="117" t="str">
        <f t="shared" si="5"/>
        <v/>
      </c>
      <c r="W45" s="234" t="str">
        <f t="shared" si="6"/>
        <v/>
      </c>
      <c r="X45" s="115">
        <f t="shared" si="7"/>
        <v>0</v>
      </c>
      <c r="Y45" s="116" t="str">
        <f t="shared" si="8"/>
        <v/>
      </c>
      <c r="Z45" s="111"/>
      <c r="AA45" s="2"/>
      <c r="AB45" s="2">
        <v>26</v>
      </c>
      <c r="AC45" s="22" t="str">
        <f t="shared" si="9"/>
        <v>-</v>
      </c>
      <c r="AD45" s="22">
        <f t="shared" si="81"/>
        <v>0</v>
      </c>
      <c r="AE45" s="22">
        <f t="shared" si="82"/>
        <v>0</v>
      </c>
      <c r="AF45" s="22"/>
      <c r="AG45" s="21">
        <f t="shared" si="83"/>
        <v>0</v>
      </c>
      <c r="AH45" s="6">
        <f t="shared" si="10"/>
        <v>0</v>
      </c>
      <c r="AI45" s="7">
        <f>IF(SUM(AH45:AH$99)=0,0,F45&gt;0)</f>
        <v>0</v>
      </c>
      <c r="AJ45" s="6">
        <f t="shared" si="11"/>
        <v>0</v>
      </c>
      <c r="AK45" s="7">
        <f>IF(SUM(AH45:AH$99)=0,0,AND(AI45=FALSE,AJ45=0,SUM(AJ45:AJ$99)&gt;0))</f>
        <v>0</v>
      </c>
      <c r="AL45" s="7">
        <f t="shared" si="84"/>
        <v>0</v>
      </c>
      <c r="AM45" s="7">
        <f t="shared" si="13"/>
        <v>0</v>
      </c>
      <c r="AN45" s="9">
        <f t="shared" si="14"/>
        <v>0</v>
      </c>
      <c r="AO45" s="9">
        <f t="shared" si="15"/>
        <v>0</v>
      </c>
      <c r="AP45" s="486">
        <f t="shared" si="16"/>
        <v>0</v>
      </c>
      <c r="AQ45" s="486">
        <f t="shared" si="85"/>
        <v>0</v>
      </c>
      <c r="AR45" s="7">
        <f t="shared" si="17"/>
        <v>0</v>
      </c>
      <c r="AS45" s="7" t="str">
        <f t="shared" si="86"/>
        <v/>
      </c>
      <c r="AT45" s="7">
        <f t="shared" si="18"/>
        <v>0</v>
      </c>
      <c r="AU45" s="485">
        <f t="shared" si="87"/>
        <v>0</v>
      </c>
      <c r="AV45" s="7">
        <f t="shared" si="19"/>
        <v>0</v>
      </c>
      <c r="AW45" s="7">
        <f t="shared" si="20"/>
        <v>0</v>
      </c>
      <c r="AX45" s="7">
        <f t="shared" si="21"/>
        <v>0</v>
      </c>
      <c r="AY45" s="484">
        <f t="shared" si="88"/>
        <v>0</v>
      </c>
      <c r="AZ45" s="7">
        <f t="shared" si="22"/>
        <v>0</v>
      </c>
      <c r="BA45" s="483">
        <f t="shared" si="89"/>
        <v>0</v>
      </c>
      <c r="BB45" s="487" t="str">
        <f t="shared" si="90"/>
        <v/>
      </c>
      <c r="BC45" s="487" t="str">
        <f t="shared" si="91"/>
        <v/>
      </c>
      <c r="BD45" s="7">
        <f t="shared" si="23"/>
        <v>0</v>
      </c>
      <c r="BE45" s="7">
        <f t="shared" si="24"/>
        <v>0</v>
      </c>
      <c r="BF45" s="7">
        <f t="shared" si="25"/>
        <v>0</v>
      </c>
      <c r="BG45" s="8" t="b">
        <f t="shared" si="26"/>
        <v>0</v>
      </c>
      <c r="BH45" s="235" t="str">
        <f t="shared" si="27"/>
        <v/>
      </c>
      <c r="BI45" s="75">
        <f t="shared" si="28"/>
        <v>0</v>
      </c>
      <c r="BJ45" s="15">
        <f t="shared" si="29"/>
        <v>0</v>
      </c>
      <c r="BK45" s="15">
        <f t="shared" si="92"/>
        <v>0</v>
      </c>
      <c r="BL45" s="18">
        <f t="shared" si="30"/>
        <v>0</v>
      </c>
      <c r="BM45" s="78">
        <f t="shared" si="31"/>
        <v>0</v>
      </c>
      <c r="BN45" s="14">
        <f t="shared" si="32"/>
        <v>0</v>
      </c>
      <c r="BO45" s="14">
        <f t="shared" si="33"/>
        <v>0</v>
      </c>
      <c r="BP45" s="15">
        <f t="shared" si="93"/>
        <v>0</v>
      </c>
      <c r="BQ45" s="73">
        <f t="shared" si="34"/>
        <v>0</v>
      </c>
      <c r="BR45" s="242" t="e">
        <f t="shared" si="35"/>
        <v>#DIV/0!</v>
      </c>
      <c r="BS45" s="75">
        <f t="shared" si="106"/>
        <v>0</v>
      </c>
      <c r="BT45" s="15">
        <f t="shared" si="107"/>
        <v>0</v>
      </c>
      <c r="BU45" s="15">
        <f t="shared" si="108"/>
        <v>0</v>
      </c>
      <c r="BV45" s="17">
        <f t="shared" si="109"/>
        <v>0</v>
      </c>
      <c r="BW45" s="72">
        <f t="shared" si="37"/>
        <v>0</v>
      </c>
      <c r="BX45" s="14">
        <f t="shared" si="38"/>
        <v>0</v>
      </c>
      <c r="BY45" s="15">
        <f t="shared" si="97"/>
        <v>0</v>
      </c>
      <c r="BZ45" s="14">
        <f t="shared" si="98"/>
        <v>0</v>
      </c>
      <c r="CA45" s="73">
        <f t="shared" si="39"/>
        <v>0</v>
      </c>
      <c r="CB45" s="192" t="e">
        <f t="shared" si="40"/>
        <v>#DIV/0!</v>
      </c>
      <c r="CC45" s="72" t="e">
        <f t="shared" si="41"/>
        <v>#DIV/0!</v>
      </c>
      <c r="CD45" s="14">
        <f t="shared" si="42"/>
        <v>0</v>
      </c>
      <c r="CE45" s="19">
        <f t="shared" si="99"/>
        <v>0</v>
      </c>
      <c r="CF45" s="19">
        <f t="shared" si="43"/>
        <v>0</v>
      </c>
      <c r="CG45" s="20" t="e">
        <f t="shared" si="44"/>
        <v>#DIV/0!</v>
      </c>
      <c r="CH45" s="20" t="e">
        <f t="shared" si="45"/>
        <v>#DIV/0!</v>
      </c>
      <c r="CI45" s="83" t="e">
        <f t="shared" si="100"/>
        <v>#DIV/0!</v>
      </c>
      <c r="CJ45" s="77" t="e">
        <f t="shared" si="46"/>
        <v>#DIV/0!</v>
      </c>
      <c r="CK45" s="2" t="e">
        <f t="shared" si="101"/>
        <v>#DIV/0!</v>
      </c>
      <c r="CL45" s="2" t="str">
        <f t="shared" si="47"/>
        <v/>
      </c>
      <c r="CM45" s="231" t="e">
        <f t="shared" si="102"/>
        <v>#DIV/0!</v>
      </c>
      <c r="CN45" s="233" t="e">
        <f t="shared" si="103"/>
        <v>#DIV/0!</v>
      </c>
      <c r="CO45" s="233">
        <f t="shared" si="104"/>
        <v>0</v>
      </c>
      <c r="CP45" s="2">
        <f t="shared" si="48"/>
        <v>1</v>
      </c>
      <c r="CQ45" s="2">
        <f t="shared" si="49"/>
        <v>1</v>
      </c>
      <c r="CR45" s="2" t="str">
        <f t="shared" si="50"/>
        <v/>
      </c>
      <c r="CS45" s="2">
        <f t="shared" si="51"/>
        <v>0</v>
      </c>
      <c r="CT45" s="191">
        <f t="shared" si="52"/>
        <v>0</v>
      </c>
      <c r="CU45" s="2" t="str">
        <f t="shared" si="53"/>
        <v>OK</v>
      </c>
      <c r="CV45" s="232">
        <f t="shared" si="54"/>
        <v>0.05</v>
      </c>
      <c r="CW45" s="191" t="e">
        <f t="shared" si="55"/>
        <v>#DIV/0!</v>
      </c>
      <c r="CX45" s="191" t="e">
        <f t="shared" si="56"/>
        <v>#DIV/0!</v>
      </c>
      <c r="CY45" s="191" t="e">
        <f t="shared" si="57"/>
        <v>#DIV/0!</v>
      </c>
      <c r="CZ45" s="191" t="e">
        <f t="shared" si="58"/>
        <v>#DIV/0!</v>
      </c>
      <c r="DA45" s="191">
        <f t="shared" si="59"/>
        <v>1</v>
      </c>
      <c r="DB45" s="191">
        <f t="shared" si="60"/>
        <v>0</v>
      </c>
      <c r="DC45" s="2" t="str">
        <f t="shared" si="61"/>
        <v>Soft</v>
      </c>
      <c r="DD45" s="2"/>
      <c r="DE45" s="2">
        <f t="shared" si="62"/>
        <v>0</v>
      </c>
      <c r="DF45" s="191" t="e">
        <f t="shared" si="63"/>
        <v>#DIV/0!</v>
      </c>
      <c r="DG45" s="191" t="e">
        <f t="shared" si="64"/>
        <v>#DIV/0!</v>
      </c>
      <c r="DH45" s="191" t="e">
        <f t="shared" si="65"/>
        <v>#DIV/0!</v>
      </c>
      <c r="DI45" s="191" t="e">
        <f t="shared" si="66"/>
        <v>#DIV/0!</v>
      </c>
      <c r="DJ45" s="191" t="e">
        <f t="shared" si="105"/>
        <v>#DIV/0!</v>
      </c>
      <c r="DK45" s="2"/>
      <c r="DL45" s="2"/>
      <c r="DM45" s="2"/>
      <c r="DN45" s="2">
        <f t="shared" si="67"/>
        <v>1</v>
      </c>
      <c r="DO45" s="191" t="e">
        <f t="shared" si="68"/>
        <v>#DIV/0!</v>
      </c>
      <c r="DP45" s="191" t="e">
        <f t="shared" si="69"/>
        <v>#DIV/0!</v>
      </c>
      <c r="DQ45" s="191" t="e">
        <f t="shared" si="70"/>
        <v>#DIV/0!</v>
      </c>
      <c r="DR45" s="191" t="e">
        <f t="shared" si="71"/>
        <v>#DIV/0!</v>
      </c>
      <c r="DS45" s="191" t="e">
        <f t="shared" si="72"/>
        <v>#DIV/0!</v>
      </c>
      <c r="DT45" s="191" t="e">
        <f t="shared" si="73"/>
        <v>#DIV/0!</v>
      </c>
      <c r="DU45" s="191">
        <f t="shared" si="74"/>
        <v>0</v>
      </c>
      <c r="DV45" s="2"/>
      <c r="DW45" s="2" t="b">
        <f t="shared" si="75"/>
        <v>1</v>
      </c>
      <c r="DX45" s="2" t="b">
        <f t="shared" si="76"/>
        <v>1</v>
      </c>
      <c r="DY45" s="2" t="b">
        <f t="shared" si="77"/>
        <v>1</v>
      </c>
      <c r="DZ45" s="2" t="b">
        <f t="shared" si="78"/>
        <v>1</v>
      </c>
      <c r="EA45" s="2" t="b">
        <f t="shared" si="79"/>
        <v>1</v>
      </c>
      <c r="EB45"/>
    </row>
    <row r="46" spans="1:132" s="108" customFormat="1" ht="18.5" hidden="1" thickBot="1" x14ac:dyDescent="0.45">
      <c r="A46" s="109"/>
      <c r="B46" s="88" t="str">
        <f t="shared" si="80"/>
        <v>-</v>
      </c>
      <c r="C46" s="118">
        <v>27</v>
      </c>
      <c r="D46" s="792"/>
      <c r="E46" s="798"/>
      <c r="F46" s="555"/>
      <c r="G46" s="556"/>
      <c r="H46" s="557"/>
      <c r="I46" s="558"/>
      <c r="J46" s="559"/>
      <c r="K46" s="560"/>
      <c r="L46" s="560"/>
      <c r="M46" s="560"/>
      <c r="N46" s="561"/>
      <c r="O46" s="562"/>
      <c r="P46" s="563"/>
      <c r="Q46" s="564"/>
      <c r="R46" s="565"/>
      <c r="S46" s="112" t="str">
        <f t="shared" si="2"/>
        <v/>
      </c>
      <c r="T46" s="113" t="str">
        <f t="shared" si="3"/>
        <v/>
      </c>
      <c r="U46" s="114">
        <f t="shared" si="4"/>
        <v>0</v>
      </c>
      <c r="V46" s="117" t="str">
        <f t="shared" si="5"/>
        <v/>
      </c>
      <c r="W46" s="234" t="str">
        <f t="shared" si="6"/>
        <v/>
      </c>
      <c r="X46" s="115">
        <f t="shared" si="7"/>
        <v>0</v>
      </c>
      <c r="Y46" s="116" t="str">
        <f t="shared" si="8"/>
        <v/>
      </c>
      <c r="Z46" s="111"/>
      <c r="AA46" s="2"/>
      <c r="AB46" s="2">
        <v>27</v>
      </c>
      <c r="AC46" s="22" t="str">
        <f t="shared" si="9"/>
        <v>-</v>
      </c>
      <c r="AD46" s="22">
        <f t="shared" si="81"/>
        <v>0</v>
      </c>
      <c r="AE46" s="22">
        <f t="shared" si="82"/>
        <v>0</v>
      </c>
      <c r="AF46" s="22"/>
      <c r="AG46" s="21">
        <f t="shared" si="83"/>
        <v>0</v>
      </c>
      <c r="AH46" s="6">
        <f t="shared" si="10"/>
        <v>0</v>
      </c>
      <c r="AI46" s="7">
        <f>IF(SUM(AH46:AH$99)=0,0,F46&gt;0)</f>
        <v>0</v>
      </c>
      <c r="AJ46" s="6">
        <f t="shared" si="11"/>
        <v>0</v>
      </c>
      <c r="AK46" s="7">
        <f>IF(SUM(AH46:AH$99)=0,0,AND(AI46=FALSE,AJ46=0,SUM(AJ46:AJ$99)&gt;0))</f>
        <v>0</v>
      </c>
      <c r="AL46" s="7">
        <f t="shared" si="84"/>
        <v>0</v>
      </c>
      <c r="AM46" s="7">
        <f t="shared" si="13"/>
        <v>0</v>
      </c>
      <c r="AN46" s="9">
        <f t="shared" si="14"/>
        <v>0</v>
      </c>
      <c r="AO46" s="9">
        <f t="shared" si="15"/>
        <v>0</v>
      </c>
      <c r="AP46" s="486">
        <f t="shared" si="16"/>
        <v>0</v>
      </c>
      <c r="AQ46" s="486">
        <f t="shared" si="85"/>
        <v>0</v>
      </c>
      <c r="AR46" s="7">
        <f t="shared" si="17"/>
        <v>0</v>
      </c>
      <c r="AS46" s="7" t="str">
        <f t="shared" si="86"/>
        <v/>
      </c>
      <c r="AT46" s="7">
        <f t="shared" si="18"/>
        <v>0</v>
      </c>
      <c r="AU46" s="485">
        <f t="shared" si="87"/>
        <v>0</v>
      </c>
      <c r="AV46" s="7">
        <f t="shared" si="19"/>
        <v>0</v>
      </c>
      <c r="AW46" s="7">
        <f t="shared" si="20"/>
        <v>0</v>
      </c>
      <c r="AX46" s="7">
        <f t="shared" si="21"/>
        <v>0</v>
      </c>
      <c r="AY46" s="484">
        <f t="shared" si="88"/>
        <v>0</v>
      </c>
      <c r="AZ46" s="7">
        <f t="shared" si="22"/>
        <v>0</v>
      </c>
      <c r="BA46" s="483">
        <f t="shared" si="89"/>
        <v>0</v>
      </c>
      <c r="BB46" s="487" t="str">
        <f t="shared" si="90"/>
        <v/>
      </c>
      <c r="BC46" s="487" t="str">
        <f t="shared" si="91"/>
        <v/>
      </c>
      <c r="BD46" s="7">
        <f t="shared" si="23"/>
        <v>0</v>
      </c>
      <c r="BE46" s="7">
        <f t="shared" si="24"/>
        <v>0</v>
      </c>
      <c r="BF46" s="7">
        <f t="shared" si="25"/>
        <v>0</v>
      </c>
      <c r="BG46" s="8" t="b">
        <f t="shared" si="26"/>
        <v>0</v>
      </c>
      <c r="BH46" s="235" t="str">
        <f t="shared" si="27"/>
        <v/>
      </c>
      <c r="BI46" s="75">
        <f t="shared" si="28"/>
        <v>0</v>
      </c>
      <c r="BJ46" s="15">
        <f t="shared" si="29"/>
        <v>0</v>
      </c>
      <c r="BK46" s="15">
        <f t="shared" si="92"/>
        <v>0</v>
      </c>
      <c r="BL46" s="18">
        <f t="shared" si="30"/>
        <v>0</v>
      </c>
      <c r="BM46" s="78">
        <f t="shared" si="31"/>
        <v>0</v>
      </c>
      <c r="BN46" s="14">
        <f t="shared" si="32"/>
        <v>0</v>
      </c>
      <c r="BO46" s="14">
        <f t="shared" si="33"/>
        <v>0</v>
      </c>
      <c r="BP46" s="15">
        <f t="shared" si="93"/>
        <v>0</v>
      </c>
      <c r="BQ46" s="73">
        <f t="shared" si="34"/>
        <v>0</v>
      </c>
      <c r="BR46" s="242" t="e">
        <f t="shared" si="35"/>
        <v>#DIV/0!</v>
      </c>
      <c r="BS46" s="75">
        <f t="shared" si="106"/>
        <v>0</v>
      </c>
      <c r="BT46" s="15">
        <f t="shared" si="107"/>
        <v>0</v>
      </c>
      <c r="BU46" s="15">
        <f t="shared" si="108"/>
        <v>0</v>
      </c>
      <c r="BV46" s="17">
        <f t="shared" si="109"/>
        <v>0</v>
      </c>
      <c r="BW46" s="72">
        <f t="shared" si="37"/>
        <v>0</v>
      </c>
      <c r="BX46" s="14">
        <f t="shared" si="38"/>
        <v>0</v>
      </c>
      <c r="BY46" s="15">
        <f t="shared" si="97"/>
        <v>0</v>
      </c>
      <c r="BZ46" s="14">
        <f t="shared" si="98"/>
        <v>0</v>
      </c>
      <c r="CA46" s="73">
        <f t="shared" si="39"/>
        <v>0</v>
      </c>
      <c r="CB46" s="192" t="e">
        <f t="shared" si="40"/>
        <v>#DIV/0!</v>
      </c>
      <c r="CC46" s="72" t="e">
        <f t="shared" si="41"/>
        <v>#DIV/0!</v>
      </c>
      <c r="CD46" s="14">
        <f t="shared" si="42"/>
        <v>0</v>
      </c>
      <c r="CE46" s="19">
        <f t="shared" si="99"/>
        <v>0</v>
      </c>
      <c r="CF46" s="19">
        <f t="shared" si="43"/>
        <v>0</v>
      </c>
      <c r="CG46" s="20" t="e">
        <f t="shared" si="44"/>
        <v>#DIV/0!</v>
      </c>
      <c r="CH46" s="20" t="e">
        <f t="shared" si="45"/>
        <v>#DIV/0!</v>
      </c>
      <c r="CI46" s="83" t="e">
        <f t="shared" si="100"/>
        <v>#DIV/0!</v>
      </c>
      <c r="CJ46" s="77" t="e">
        <f t="shared" si="46"/>
        <v>#DIV/0!</v>
      </c>
      <c r="CK46" s="2" t="e">
        <f t="shared" si="101"/>
        <v>#DIV/0!</v>
      </c>
      <c r="CL46" s="2" t="str">
        <f t="shared" si="47"/>
        <v/>
      </c>
      <c r="CM46" s="231" t="e">
        <f t="shared" si="102"/>
        <v>#DIV/0!</v>
      </c>
      <c r="CN46" s="233" t="e">
        <f t="shared" si="103"/>
        <v>#DIV/0!</v>
      </c>
      <c r="CO46" s="233">
        <f t="shared" si="104"/>
        <v>0</v>
      </c>
      <c r="CP46" s="2">
        <f t="shared" si="48"/>
        <v>1</v>
      </c>
      <c r="CQ46" s="2">
        <f t="shared" si="49"/>
        <v>1</v>
      </c>
      <c r="CR46" s="2" t="str">
        <f t="shared" si="50"/>
        <v/>
      </c>
      <c r="CS46" s="2">
        <f t="shared" si="51"/>
        <v>0</v>
      </c>
      <c r="CT46" s="191">
        <f t="shared" si="52"/>
        <v>0</v>
      </c>
      <c r="CU46" s="2" t="str">
        <f t="shared" si="53"/>
        <v>OK</v>
      </c>
      <c r="CV46" s="232">
        <f t="shared" si="54"/>
        <v>0.05</v>
      </c>
      <c r="CW46" s="191" t="e">
        <f t="shared" si="55"/>
        <v>#DIV/0!</v>
      </c>
      <c r="CX46" s="191" t="e">
        <f t="shared" si="56"/>
        <v>#DIV/0!</v>
      </c>
      <c r="CY46" s="191" t="e">
        <f t="shared" si="57"/>
        <v>#DIV/0!</v>
      </c>
      <c r="CZ46" s="191" t="e">
        <f t="shared" si="58"/>
        <v>#DIV/0!</v>
      </c>
      <c r="DA46" s="191">
        <f t="shared" si="59"/>
        <v>1</v>
      </c>
      <c r="DB46" s="191">
        <f t="shared" si="60"/>
        <v>0</v>
      </c>
      <c r="DC46" s="2" t="str">
        <f t="shared" si="61"/>
        <v>Soft</v>
      </c>
      <c r="DD46" s="2"/>
      <c r="DE46" s="2">
        <f t="shared" si="62"/>
        <v>0</v>
      </c>
      <c r="DF46" s="191" t="e">
        <f t="shared" si="63"/>
        <v>#DIV/0!</v>
      </c>
      <c r="DG46" s="191" t="e">
        <f t="shared" si="64"/>
        <v>#DIV/0!</v>
      </c>
      <c r="DH46" s="191" t="e">
        <f t="shared" si="65"/>
        <v>#DIV/0!</v>
      </c>
      <c r="DI46" s="191" t="e">
        <f t="shared" si="66"/>
        <v>#DIV/0!</v>
      </c>
      <c r="DJ46" s="191" t="e">
        <f t="shared" si="105"/>
        <v>#DIV/0!</v>
      </c>
      <c r="DK46" s="2"/>
      <c r="DL46" s="2"/>
      <c r="DM46" s="2"/>
      <c r="DN46" s="2">
        <f t="shared" si="67"/>
        <v>1</v>
      </c>
      <c r="DO46" s="191" t="e">
        <f t="shared" si="68"/>
        <v>#DIV/0!</v>
      </c>
      <c r="DP46" s="191" t="e">
        <f t="shared" si="69"/>
        <v>#DIV/0!</v>
      </c>
      <c r="DQ46" s="191" t="e">
        <f t="shared" si="70"/>
        <v>#DIV/0!</v>
      </c>
      <c r="DR46" s="191" t="e">
        <f t="shared" si="71"/>
        <v>#DIV/0!</v>
      </c>
      <c r="DS46" s="191" t="e">
        <f t="shared" si="72"/>
        <v>#DIV/0!</v>
      </c>
      <c r="DT46" s="191" t="e">
        <f t="shared" si="73"/>
        <v>#DIV/0!</v>
      </c>
      <c r="DU46" s="191">
        <f t="shared" si="74"/>
        <v>0</v>
      </c>
      <c r="DV46" s="2"/>
      <c r="DW46" s="2" t="b">
        <f t="shared" si="75"/>
        <v>1</v>
      </c>
      <c r="DX46" s="2" t="b">
        <f t="shared" si="76"/>
        <v>1</v>
      </c>
      <c r="DY46" s="2" t="b">
        <f t="shared" si="77"/>
        <v>1</v>
      </c>
      <c r="DZ46" s="2" t="b">
        <f t="shared" si="78"/>
        <v>1</v>
      </c>
      <c r="EA46" s="2" t="b">
        <f t="shared" si="79"/>
        <v>1</v>
      </c>
      <c r="EB46"/>
    </row>
    <row r="47" spans="1:132" s="108" customFormat="1" ht="18.5" hidden="1" thickBot="1" x14ac:dyDescent="0.45">
      <c r="A47" s="109"/>
      <c r="B47" s="88" t="str">
        <f t="shared" si="80"/>
        <v>-</v>
      </c>
      <c r="C47" s="118">
        <v>28</v>
      </c>
      <c r="D47" s="792"/>
      <c r="E47" s="793"/>
      <c r="F47" s="555"/>
      <c r="G47" s="556"/>
      <c r="H47" s="557"/>
      <c r="I47" s="558"/>
      <c r="J47" s="559"/>
      <c r="K47" s="560"/>
      <c r="L47" s="560"/>
      <c r="M47" s="560"/>
      <c r="N47" s="561"/>
      <c r="O47" s="562"/>
      <c r="P47" s="563"/>
      <c r="Q47" s="564"/>
      <c r="R47" s="565"/>
      <c r="S47" s="112" t="str">
        <f t="shared" si="2"/>
        <v/>
      </c>
      <c r="T47" s="113" t="str">
        <f t="shared" si="3"/>
        <v/>
      </c>
      <c r="U47" s="114">
        <f t="shared" si="4"/>
        <v>0</v>
      </c>
      <c r="V47" s="117" t="str">
        <f t="shared" si="5"/>
        <v/>
      </c>
      <c r="W47" s="234" t="str">
        <f t="shared" si="6"/>
        <v/>
      </c>
      <c r="X47" s="115">
        <f t="shared" si="7"/>
        <v>0</v>
      </c>
      <c r="Y47" s="116" t="str">
        <f t="shared" si="8"/>
        <v/>
      </c>
      <c r="Z47" s="111"/>
      <c r="AA47" s="2"/>
      <c r="AB47" s="2">
        <v>28</v>
      </c>
      <c r="AC47" s="22" t="str">
        <f t="shared" si="9"/>
        <v>-</v>
      </c>
      <c r="AD47" s="22">
        <f t="shared" si="81"/>
        <v>0</v>
      </c>
      <c r="AE47" s="22">
        <f t="shared" si="82"/>
        <v>0</v>
      </c>
      <c r="AF47" s="22"/>
      <c r="AG47" s="21">
        <f t="shared" si="83"/>
        <v>0</v>
      </c>
      <c r="AH47" s="6">
        <f t="shared" si="10"/>
        <v>0</v>
      </c>
      <c r="AI47" s="7">
        <f>IF(SUM(AH47:AH$99)=0,0,F47&gt;0)</f>
        <v>0</v>
      </c>
      <c r="AJ47" s="6">
        <f t="shared" si="11"/>
        <v>0</v>
      </c>
      <c r="AK47" s="7">
        <f>IF(SUM(AH47:AH$99)=0,0,AND(AI47=FALSE,AJ47=0,SUM(AJ47:AJ$99)&gt;0))</f>
        <v>0</v>
      </c>
      <c r="AL47" s="7">
        <f t="shared" si="84"/>
        <v>0</v>
      </c>
      <c r="AM47" s="7">
        <f t="shared" si="13"/>
        <v>0</v>
      </c>
      <c r="AN47" s="9">
        <f t="shared" si="14"/>
        <v>0</v>
      </c>
      <c r="AO47" s="9">
        <f t="shared" si="15"/>
        <v>0</v>
      </c>
      <c r="AP47" s="486">
        <f t="shared" si="16"/>
        <v>0</v>
      </c>
      <c r="AQ47" s="486">
        <f t="shared" si="85"/>
        <v>0</v>
      </c>
      <c r="AR47" s="7">
        <f t="shared" si="17"/>
        <v>0</v>
      </c>
      <c r="AS47" s="7" t="str">
        <f t="shared" si="86"/>
        <v/>
      </c>
      <c r="AT47" s="7">
        <f t="shared" si="18"/>
        <v>0</v>
      </c>
      <c r="AU47" s="485">
        <f t="shared" si="87"/>
        <v>0</v>
      </c>
      <c r="AV47" s="7">
        <f t="shared" si="19"/>
        <v>0</v>
      </c>
      <c r="AW47" s="7">
        <f t="shared" si="20"/>
        <v>0</v>
      </c>
      <c r="AX47" s="7">
        <f t="shared" si="21"/>
        <v>0</v>
      </c>
      <c r="AY47" s="484">
        <f t="shared" si="88"/>
        <v>0</v>
      </c>
      <c r="AZ47" s="7">
        <f t="shared" si="22"/>
        <v>0</v>
      </c>
      <c r="BA47" s="483">
        <f t="shared" si="89"/>
        <v>0</v>
      </c>
      <c r="BB47" s="487" t="str">
        <f t="shared" si="90"/>
        <v/>
      </c>
      <c r="BC47" s="487" t="str">
        <f t="shared" si="91"/>
        <v/>
      </c>
      <c r="BD47" s="7">
        <f t="shared" si="23"/>
        <v>0</v>
      </c>
      <c r="BE47" s="7">
        <f t="shared" si="24"/>
        <v>0</v>
      </c>
      <c r="BF47" s="7">
        <f t="shared" si="25"/>
        <v>0</v>
      </c>
      <c r="BG47" s="8" t="b">
        <f t="shared" si="26"/>
        <v>0</v>
      </c>
      <c r="BH47" s="235" t="str">
        <f t="shared" si="27"/>
        <v/>
      </c>
      <c r="BI47" s="75">
        <f t="shared" si="28"/>
        <v>0</v>
      </c>
      <c r="BJ47" s="15">
        <f t="shared" si="29"/>
        <v>0</v>
      </c>
      <c r="BK47" s="15">
        <f t="shared" si="92"/>
        <v>0</v>
      </c>
      <c r="BL47" s="18">
        <f t="shared" si="30"/>
        <v>0</v>
      </c>
      <c r="BM47" s="78">
        <f t="shared" si="31"/>
        <v>0</v>
      </c>
      <c r="BN47" s="14">
        <f t="shared" si="32"/>
        <v>0</v>
      </c>
      <c r="BO47" s="14">
        <f t="shared" si="33"/>
        <v>0</v>
      </c>
      <c r="BP47" s="15">
        <f t="shared" si="93"/>
        <v>0</v>
      </c>
      <c r="BQ47" s="73">
        <f t="shared" si="34"/>
        <v>0</v>
      </c>
      <c r="BR47" s="242" t="e">
        <f t="shared" si="35"/>
        <v>#DIV/0!</v>
      </c>
      <c r="BS47" s="75">
        <f t="shared" si="106"/>
        <v>0</v>
      </c>
      <c r="BT47" s="15">
        <f t="shared" si="107"/>
        <v>0</v>
      </c>
      <c r="BU47" s="15">
        <f t="shared" si="108"/>
        <v>0</v>
      </c>
      <c r="BV47" s="17">
        <f t="shared" si="109"/>
        <v>0</v>
      </c>
      <c r="BW47" s="72">
        <f t="shared" si="37"/>
        <v>0</v>
      </c>
      <c r="BX47" s="14">
        <f t="shared" si="38"/>
        <v>0</v>
      </c>
      <c r="BY47" s="15">
        <f t="shared" si="97"/>
        <v>0</v>
      </c>
      <c r="BZ47" s="14">
        <f t="shared" si="98"/>
        <v>0</v>
      </c>
      <c r="CA47" s="73">
        <f t="shared" si="39"/>
        <v>0</v>
      </c>
      <c r="CB47" s="192" t="e">
        <f t="shared" si="40"/>
        <v>#DIV/0!</v>
      </c>
      <c r="CC47" s="72" t="e">
        <f t="shared" si="41"/>
        <v>#DIV/0!</v>
      </c>
      <c r="CD47" s="14">
        <f t="shared" si="42"/>
        <v>0</v>
      </c>
      <c r="CE47" s="19">
        <f t="shared" si="99"/>
        <v>0</v>
      </c>
      <c r="CF47" s="19">
        <f t="shared" si="43"/>
        <v>0</v>
      </c>
      <c r="CG47" s="20" t="e">
        <f t="shared" si="44"/>
        <v>#DIV/0!</v>
      </c>
      <c r="CH47" s="20" t="e">
        <f t="shared" si="45"/>
        <v>#DIV/0!</v>
      </c>
      <c r="CI47" s="83" t="e">
        <f t="shared" si="100"/>
        <v>#DIV/0!</v>
      </c>
      <c r="CJ47" s="77" t="e">
        <f t="shared" si="46"/>
        <v>#DIV/0!</v>
      </c>
      <c r="CK47" s="2" t="e">
        <f t="shared" si="101"/>
        <v>#DIV/0!</v>
      </c>
      <c r="CL47" s="2" t="str">
        <f t="shared" si="47"/>
        <v/>
      </c>
      <c r="CM47" s="231" t="e">
        <f t="shared" si="102"/>
        <v>#DIV/0!</v>
      </c>
      <c r="CN47" s="233" t="e">
        <f t="shared" si="103"/>
        <v>#DIV/0!</v>
      </c>
      <c r="CO47" s="233">
        <f t="shared" si="104"/>
        <v>0</v>
      </c>
      <c r="CP47" s="2">
        <f t="shared" si="48"/>
        <v>1</v>
      </c>
      <c r="CQ47" s="2">
        <f t="shared" si="49"/>
        <v>1</v>
      </c>
      <c r="CR47" s="2" t="str">
        <f t="shared" si="50"/>
        <v/>
      </c>
      <c r="CS47" s="2">
        <f t="shared" si="51"/>
        <v>0</v>
      </c>
      <c r="CT47" s="191">
        <f t="shared" si="52"/>
        <v>0</v>
      </c>
      <c r="CU47" s="2" t="str">
        <f t="shared" si="53"/>
        <v>OK</v>
      </c>
      <c r="CV47" s="232">
        <f t="shared" si="54"/>
        <v>0.05</v>
      </c>
      <c r="CW47" s="191" t="e">
        <f t="shared" si="55"/>
        <v>#DIV/0!</v>
      </c>
      <c r="CX47" s="191" t="e">
        <f t="shared" si="56"/>
        <v>#DIV/0!</v>
      </c>
      <c r="CY47" s="191" t="e">
        <f t="shared" si="57"/>
        <v>#DIV/0!</v>
      </c>
      <c r="CZ47" s="191" t="e">
        <f t="shared" si="58"/>
        <v>#DIV/0!</v>
      </c>
      <c r="DA47" s="191">
        <f t="shared" si="59"/>
        <v>1</v>
      </c>
      <c r="DB47" s="191">
        <f t="shared" si="60"/>
        <v>0</v>
      </c>
      <c r="DC47" s="2" t="str">
        <f t="shared" si="61"/>
        <v>Soft</v>
      </c>
      <c r="DD47" s="2"/>
      <c r="DE47" s="2">
        <f t="shared" si="62"/>
        <v>0</v>
      </c>
      <c r="DF47" s="191" t="e">
        <f t="shared" si="63"/>
        <v>#DIV/0!</v>
      </c>
      <c r="DG47" s="191" t="e">
        <f t="shared" si="64"/>
        <v>#DIV/0!</v>
      </c>
      <c r="DH47" s="191" t="e">
        <f t="shared" si="65"/>
        <v>#DIV/0!</v>
      </c>
      <c r="DI47" s="191" t="e">
        <f t="shared" si="66"/>
        <v>#DIV/0!</v>
      </c>
      <c r="DJ47" s="191" t="e">
        <f t="shared" si="105"/>
        <v>#DIV/0!</v>
      </c>
      <c r="DK47" s="2"/>
      <c r="DL47" s="2"/>
      <c r="DM47" s="2"/>
      <c r="DN47" s="2">
        <f t="shared" si="67"/>
        <v>1</v>
      </c>
      <c r="DO47" s="191" t="e">
        <f t="shared" si="68"/>
        <v>#DIV/0!</v>
      </c>
      <c r="DP47" s="191" t="e">
        <f t="shared" si="69"/>
        <v>#DIV/0!</v>
      </c>
      <c r="DQ47" s="191" t="e">
        <f t="shared" si="70"/>
        <v>#DIV/0!</v>
      </c>
      <c r="DR47" s="191" t="e">
        <f t="shared" si="71"/>
        <v>#DIV/0!</v>
      </c>
      <c r="DS47" s="191" t="e">
        <f t="shared" si="72"/>
        <v>#DIV/0!</v>
      </c>
      <c r="DT47" s="191" t="e">
        <f t="shared" si="73"/>
        <v>#DIV/0!</v>
      </c>
      <c r="DU47" s="191">
        <f t="shared" si="74"/>
        <v>0</v>
      </c>
      <c r="DV47" s="2"/>
      <c r="DW47" s="2" t="b">
        <f t="shared" si="75"/>
        <v>1</v>
      </c>
      <c r="DX47" s="2" t="b">
        <f t="shared" si="76"/>
        <v>1</v>
      </c>
      <c r="DY47" s="2" t="b">
        <f t="shared" si="77"/>
        <v>1</v>
      </c>
      <c r="DZ47" s="2" t="b">
        <f t="shared" si="78"/>
        <v>1</v>
      </c>
      <c r="EA47" s="2" t="b">
        <f t="shared" si="79"/>
        <v>1</v>
      </c>
      <c r="EB47"/>
    </row>
    <row r="48" spans="1:132" s="108" customFormat="1" ht="18.5" hidden="1" thickBot="1" x14ac:dyDescent="0.45">
      <c r="A48" s="109"/>
      <c r="B48" s="88" t="str">
        <f t="shared" si="80"/>
        <v>-</v>
      </c>
      <c r="C48" s="118">
        <v>29</v>
      </c>
      <c r="D48" s="792"/>
      <c r="E48" s="798"/>
      <c r="F48" s="555"/>
      <c r="G48" s="556"/>
      <c r="H48" s="557"/>
      <c r="I48" s="558"/>
      <c r="J48" s="559"/>
      <c r="K48" s="560"/>
      <c r="L48" s="560"/>
      <c r="M48" s="560"/>
      <c r="N48" s="561"/>
      <c r="O48" s="562"/>
      <c r="P48" s="563"/>
      <c r="Q48" s="564"/>
      <c r="R48" s="565"/>
      <c r="S48" s="112" t="str">
        <f t="shared" si="2"/>
        <v/>
      </c>
      <c r="T48" s="113" t="str">
        <f t="shared" si="3"/>
        <v/>
      </c>
      <c r="U48" s="114">
        <f t="shared" si="4"/>
        <v>0</v>
      </c>
      <c r="V48" s="117" t="str">
        <f t="shared" si="5"/>
        <v/>
      </c>
      <c r="W48" s="234" t="str">
        <f t="shared" si="6"/>
        <v/>
      </c>
      <c r="X48" s="115">
        <f t="shared" si="7"/>
        <v>0</v>
      </c>
      <c r="Y48" s="116" t="str">
        <f t="shared" si="8"/>
        <v/>
      </c>
      <c r="Z48" s="111"/>
      <c r="AA48" s="2"/>
      <c r="AB48" s="2">
        <v>29</v>
      </c>
      <c r="AC48" s="22" t="str">
        <f t="shared" si="9"/>
        <v>-</v>
      </c>
      <c r="AD48" s="22">
        <f t="shared" si="81"/>
        <v>0</v>
      </c>
      <c r="AE48" s="22">
        <f t="shared" si="82"/>
        <v>0</v>
      </c>
      <c r="AF48" s="22"/>
      <c r="AG48" s="21">
        <f t="shared" si="83"/>
        <v>0</v>
      </c>
      <c r="AH48" s="6">
        <f t="shared" si="10"/>
        <v>0</v>
      </c>
      <c r="AI48" s="7">
        <f>IF(SUM(AH48:AH$99)=0,0,F48&gt;0)</f>
        <v>0</v>
      </c>
      <c r="AJ48" s="6">
        <f t="shared" si="11"/>
        <v>0</v>
      </c>
      <c r="AK48" s="7">
        <f>IF(SUM(AH48:AH$99)=0,0,AND(AI48=FALSE,AJ48=0,SUM(AJ48:AJ$99)&gt;0))</f>
        <v>0</v>
      </c>
      <c r="AL48" s="7">
        <f t="shared" si="84"/>
        <v>0</v>
      </c>
      <c r="AM48" s="7">
        <f t="shared" si="13"/>
        <v>0</v>
      </c>
      <c r="AN48" s="9">
        <f t="shared" si="14"/>
        <v>0</v>
      </c>
      <c r="AO48" s="9">
        <f t="shared" si="15"/>
        <v>0</v>
      </c>
      <c r="AP48" s="486">
        <f t="shared" si="16"/>
        <v>0</v>
      </c>
      <c r="AQ48" s="486">
        <f t="shared" si="85"/>
        <v>0</v>
      </c>
      <c r="AR48" s="7">
        <f t="shared" si="17"/>
        <v>0</v>
      </c>
      <c r="AS48" s="7" t="str">
        <f t="shared" si="86"/>
        <v/>
      </c>
      <c r="AT48" s="7">
        <f t="shared" si="18"/>
        <v>0</v>
      </c>
      <c r="AU48" s="485">
        <f t="shared" si="87"/>
        <v>0</v>
      </c>
      <c r="AV48" s="7">
        <f t="shared" si="19"/>
        <v>0</v>
      </c>
      <c r="AW48" s="7">
        <f t="shared" si="20"/>
        <v>0</v>
      </c>
      <c r="AX48" s="7">
        <f t="shared" si="21"/>
        <v>0</v>
      </c>
      <c r="AY48" s="484">
        <f t="shared" si="88"/>
        <v>0</v>
      </c>
      <c r="AZ48" s="7">
        <f t="shared" si="22"/>
        <v>0</v>
      </c>
      <c r="BA48" s="483">
        <f t="shared" si="89"/>
        <v>0</v>
      </c>
      <c r="BB48" s="487" t="str">
        <f t="shared" si="90"/>
        <v/>
      </c>
      <c r="BC48" s="487" t="str">
        <f t="shared" si="91"/>
        <v/>
      </c>
      <c r="BD48" s="7">
        <f t="shared" si="23"/>
        <v>0</v>
      </c>
      <c r="BE48" s="7">
        <f t="shared" si="24"/>
        <v>0</v>
      </c>
      <c r="BF48" s="7">
        <f t="shared" si="25"/>
        <v>0</v>
      </c>
      <c r="BG48" s="8" t="b">
        <f t="shared" si="26"/>
        <v>0</v>
      </c>
      <c r="BH48" s="235" t="str">
        <f t="shared" si="27"/>
        <v/>
      </c>
      <c r="BI48" s="75">
        <f t="shared" si="28"/>
        <v>0</v>
      </c>
      <c r="BJ48" s="15">
        <f t="shared" si="29"/>
        <v>0</v>
      </c>
      <c r="BK48" s="15">
        <f t="shared" si="92"/>
        <v>0</v>
      </c>
      <c r="BL48" s="18">
        <f t="shared" si="30"/>
        <v>0</v>
      </c>
      <c r="BM48" s="78">
        <f t="shared" si="31"/>
        <v>0</v>
      </c>
      <c r="BN48" s="14">
        <f t="shared" si="32"/>
        <v>0</v>
      </c>
      <c r="BO48" s="14">
        <f t="shared" si="33"/>
        <v>0</v>
      </c>
      <c r="BP48" s="15">
        <f t="shared" si="93"/>
        <v>0</v>
      </c>
      <c r="BQ48" s="73">
        <f t="shared" si="34"/>
        <v>0</v>
      </c>
      <c r="BR48" s="242" t="e">
        <f t="shared" si="35"/>
        <v>#DIV/0!</v>
      </c>
      <c r="BS48" s="75">
        <f t="shared" si="106"/>
        <v>0</v>
      </c>
      <c r="BT48" s="15">
        <f t="shared" si="107"/>
        <v>0</v>
      </c>
      <c r="BU48" s="15">
        <f t="shared" si="108"/>
        <v>0</v>
      </c>
      <c r="BV48" s="17">
        <f t="shared" si="109"/>
        <v>0</v>
      </c>
      <c r="BW48" s="72">
        <f t="shared" si="37"/>
        <v>0</v>
      </c>
      <c r="BX48" s="14">
        <f t="shared" si="38"/>
        <v>0</v>
      </c>
      <c r="BY48" s="15">
        <f t="shared" si="97"/>
        <v>0</v>
      </c>
      <c r="BZ48" s="14">
        <f t="shared" si="98"/>
        <v>0</v>
      </c>
      <c r="CA48" s="73">
        <f t="shared" si="39"/>
        <v>0</v>
      </c>
      <c r="CB48" s="192" t="e">
        <f t="shared" si="40"/>
        <v>#DIV/0!</v>
      </c>
      <c r="CC48" s="72" t="e">
        <f t="shared" si="41"/>
        <v>#DIV/0!</v>
      </c>
      <c r="CD48" s="14">
        <f t="shared" si="42"/>
        <v>0</v>
      </c>
      <c r="CE48" s="19">
        <f t="shared" si="99"/>
        <v>0</v>
      </c>
      <c r="CF48" s="19">
        <f t="shared" si="43"/>
        <v>0</v>
      </c>
      <c r="CG48" s="20" t="e">
        <f t="shared" si="44"/>
        <v>#DIV/0!</v>
      </c>
      <c r="CH48" s="20" t="e">
        <f t="shared" si="45"/>
        <v>#DIV/0!</v>
      </c>
      <c r="CI48" s="83" t="e">
        <f t="shared" si="100"/>
        <v>#DIV/0!</v>
      </c>
      <c r="CJ48" s="77" t="e">
        <f t="shared" si="46"/>
        <v>#DIV/0!</v>
      </c>
      <c r="CK48" s="2" t="e">
        <f t="shared" si="101"/>
        <v>#DIV/0!</v>
      </c>
      <c r="CL48" s="2" t="str">
        <f t="shared" si="47"/>
        <v/>
      </c>
      <c r="CM48" s="231" t="e">
        <f t="shared" si="102"/>
        <v>#DIV/0!</v>
      </c>
      <c r="CN48" s="233" t="e">
        <f t="shared" si="103"/>
        <v>#DIV/0!</v>
      </c>
      <c r="CO48" s="233">
        <f t="shared" si="104"/>
        <v>0</v>
      </c>
      <c r="CP48" s="2">
        <f t="shared" si="48"/>
        <v>1</v>
      </c>
      <c r="CQ48" s="2">
        <f t="shared" si="49"/>
        <v>1</v>
      </c>
      <c r="CR48" s="2" t="str">
        <f t="shared" si="50"/>
        <v/>
      </c>
      <c r="CS48" s="2">
        <f t="shared" si="51"/>
        <v>0</v>
      </c>
      <c r="CT48" s="191">
        <f t="shared" si="52"/>
        <v>0</v>
      </c>
      <c r="CU48" s="2" t="str">
        <f t="shared" si="53"/>
        <v>OK</v>
      </c>
      <c r="CV48" s="232">
        <f t="shared" si="54"/>
        <v>0.05</v>
      </c>
      <c r="CW48" s="191" t="e">
        <f t="shared" si="55"/>
        <v>#DIV/0!</v>
      </c>
      <c r="CX48" s="191" t="e">
        <f t="shared" si="56"/>
        <v>#DIV/0!</v>
      </c>
      <c r="CY48" s="191" t="e">
        <f t="shared" si="57"/>
        <v>#DIV/0!</v>
      </c>
      <c r="CZ48" s="191" t="e">
        <f t="shared" si="58"/>
        <v>#DIV/0!</v>
      </c>
      <c r="DA48" s="191">
        <f t="shared" si="59"/>
        <v>1</v>
      </c>
      <c r="DB48" s="191">
        <f t="shared" si="60"/>
        <v>0</v>
      </c>
      <c r="DC48" s="2" t="str">
        <f t="shared" si="61"/>
        <v>Soft</v>
      </c>
      <c r="DD48" s="2"/>
      <c r="DE48" s="2">
        <f t="shared" si="62"/>
        <v>0</v>
      </c>
      <c r="DF48" s="191" t="e">
        <f t="shared" si="63"/>
        <v>#DIV/0!</v>
      </c>
      <c r="DG48" s="191" t="e">
        <f t="shared" si="64"/>
        <v>#DIV/0!</v>
      </c>
      <c r="DH48" s="191" t="e">
        <f t="shared" si="65"/>
        <v>#DIV/0!</v>
      </c>
      <c r="DI48" s="191" t="e">
        <f t="shared" si="66"/>
        <v>#DIV/0!</v>
      </c>
      <c r="DJ48" s="191" t="e">
        <f t="shared" si="105"/>
        <v>#DIV/0!</v>
      </c>
      <c r="DK48" s="2"/>
      <c r="DL48" s="2"/>
      <c r="DM48" s="2"/>
      <c r="DN48" s="2">
        <f t="shared" si="67"/>
        <v>1</v>
      </c>
      <c r="DO48" s="191" t="e">
        <f t="shared" si="68"/>
        <v>#DIV/0!</v>
      </c>
      <c r="DP48" s="191" t="e">
        <f t="shared" si="69"/>
        <v>#DIV/0!</v>
      </c>
      <c r="DQ48" s="191" t="e">
        <f t="shared" si="70"/>
        <v>#DIV/0!</v>
      </c>
      <c r="DR48" s="191" t="e">
        <f t="shared" si="71"/>
        <v>#DIV/0!</v>
      </c>
      <c r="DS48" s="191" t="e">
        <f t="shared" si="72"/>
        <v>#DIV/0!</v>
      </c>
      <c r="DT48" s="191" t="e">
        <f t="shared" si="73"/>
        <v>#DIV/0!</v>
      </c>
      <c r="DU48" s="191">
        <f t="shared" si="74"/>
        <v>0</v>
      </c>
      <c r="DV48" s="2"/>
      <c r="DW48" s="2" t="b">
        <f t="shared" si="75"/>
        <v>1</v>
      </c>
      <c r="DX48" s="2" t="b">
        <f t="shared" si="76"/>
        <v>1</v>
      </c>
      <c r="DY48" s="2" t="b">
        <f t="shared" si="77"/>
        <v>1</v>
      </c>
      <c r="DZ48" s="2" t="b">
        <f t="shared" si="78"/>
        <v>1</v>
      </c>
      <c r="EA48" s="2" t="b">
        <f t="shared" si="79"/>
        <v>1</v>
      </c>
      <c r="EB48"/>
    </row>
    <row r="49" spans="1:132" s="108" customFormat="1" ht="18.5" hidden="1" thickBot="1" x14ac:dyDescent="0.45">
      <c r="A49" s="109"/>
      <c r="B49" s="88" t="str">
        <f t="shared" si="80"/>
        <v>-</v>
      </c>
      <c r="C49" s="118">
        <v>30</v>
      </c>
      <c r="D49" s="792"/>
      <c r="E49" s="798"/>
      <c r="F49" s="555"/>
      <c r="G49" s="556"/>
      <c r="H49" s="557"/>
      <c r="I49" s="558"/>
      <c r="J49" s="559"/>
      <c r="K49" s="560"/>
      <c r="L49" s="560"/>
      <c r="M49" s="560"/>
      <c r="N49" s="561"/>
      <c r="O49" s="562"/>
      <c r="P49" s="563"/>
      <c r="Q49" s="564"/>
      <c r="R49" s="565"/>
      <c r="S49" s="112" t="str">
        <f t="shared" si="2"/>
        <v/>
      </c>
      <c r="T49" s="113" t="str">
        <f t="shared" si="3"/>
        <v/>
      </c>
      <c r="U49" s="114">
        <f t="shared" si="4"/>
        <v>0</v>
      </c>
      <c r="V49" s="117" t="str">
        <f t="shared" si="5"/>
        <v/>
      </c>
      <c r="W49" s="234" t="str">
        <f t="shared" si="6"/>
        <v/>
      </c>
      <c r="X49" s="115">
        <f t="shared" si="7"/>
        <v>0</v>
      </c>
      <c r="Y49" s="116" t="str">
        <f t="shared" si="8"/>
        <v/>
      </c>
      <c r="Z49" s="111"/>
      <c r="AA49" s="2"/>
      <c r="AB49" s="2">
        <v>30</v>
      </c>
      <c r="AC49" s="22" t="str">
        <f t="shared" si="9"/>
        <v>-</v>
      </c>
      <c r="AD49" s="22">
        <f t="shared" si="81"/>
        <v>0</v>
      </c>
      <c r="AE49" s="22">
        <f t="shared" si="82"/>
        <v>0</v>
      </c>
      <c r="AF49" s="22"/>
      <c r="AG49" s="21">
        <f t="shared" si="83"/>
        <v>0</v>
      </c>
      <c r="AH49" s="6">
        <f t="shared" si="10"/>
        <v>0</v>
      </c>
      <c r="AI49" s="7">
        <f>IF(SUM(AH49:AH$99)=0,0,F49&gt;0)</f>
        <v>0</v>
      </c>
      <c r="AJ49" s="6">
        <f t="shared" si="11"/>
        <v>0</v>
      </c>
      <c r="AK49" s="7">
        <f>IF(SUM(AH49:AH$99)=0,0,AND(AI49=FALSE,AJ49=0,SUM(AJ49:AJ$99)&gt;0))</f>
        <v>0</v>
      </c>
      <c r="AL49" s="7">
        <f t="shared" si="84"/>
        <v>0</v>
      </c>
      <c r="AM49" s="7">
        <f t="shared" si="13"/>
        <v>0</v>
      </c>
      <c r="AN49" s="9">
        <f t="shared" si="14"/>
        <v>0</v>
      </c>
      <c r="AO49" s="9">
        <f t="shared" si="15"/>
        <v>0</v>
      </c>
      <c r="AP49" s="486">
        <f t="shared" si="16"/>
        <v>0</v>
      </c>
      <c r="AQ49" s="486">
        <f t="shared" si="85"/>
        <v>0</v>
      </c>
      <c r="AR49" s="7">
        <f t="shared" si="17"/>
        <v>0</v>
      </c>
      <c r="AS49" s="7" t="str">
        <f t="shared" si="86"/>
        <v/>
      </c>
      <c r="AT49" s="7">
        <f t="shared" si="18"/>
        <v>0</v>
      </c>
      <c r="AU49" s="485">
        <f t="shared" si="87"/>
        <v>0</v>
      </c>
      <c r="AV49" s="7">
        <f t="shared" si="19"/>
        <v>0</v>
      </c>
      <c r="AW49" s="7">
        <f t="shared" si="20"/>
        <v>0</v>
      </c>
      <c r="AX49" s="7">
        <f t="shared" si="21"/>
        <v>0</v>
      </c>
      <c r="AY49" s="484">
        <f t="shared" si="88"/>
        <v>0</v>
      </c>
      <c r="AZ49" s="7">
        <f t="shared" si="22"/>
        <v>0</v>
      </c>
      <c r="BA49" s="483">
        <f t="shared" si="89"/>
        <v>0</v>
      </c>
      <c r="BB49" s="487" t="str">
        <f t="shared" si="90"/>
        <v/>
      </c>
      <c r="BC49" s="487" t="str">
        <f t="shared" si="91"/>
        <v/>
      </c>
      <c r="BD49" s="7">
        <f t="shared" si="23"/>
        <v>0</v>
      </c>
      <c r="BE49" s="7">
        <f t="shared" si="24"/>
        <v>0</v>
      </c>
      <c r="BF49" s="7">
        <f t="shared" si="25"/>
        <v>0</v>
      </c>
      <c r="BG49" s="8" t="b">
        <f t="shared" si="26"/>
        <v>0</v>
      </c>
      <c r="BH49" s="235" t="str">
        <f t="shared" si="27"/>
        <v/>
      </c>
      <c r="BI49" s="75">
        <f t="shared" si="28"/>
        <v>0</v>
      </c>
      <c r="BJ49" s="15">
        <f t="shared" si="29"/>
        <v>0</v>
      </c>
      <c r="BK49" s="15">
        <f t="shared" si="92"/>
        <v>0</v>
      </c>
      <c r="BL49" s="18">
        <f t="shared" si="30"/>
        <v>0</v>
      </c>
      <c r="BM49" s="78">
        <f t="shared" si="31"/>
        <v>0</v>
      </c>
      <c r="BN49" s="14">
        <f t="shared" si="32"/>
        <v>0</v>
      </c>
      <c r="BO49" s="14">
        <f t="shared" si="33"/>
        <v>0</v>
      </c>
      <c r="BP49" s="15">
        <f t="shared" si="93"/>
        <v>0</v>
      </c>
      <c r="BQ49" s="73">
        <f t="shared" si="34"/>
        <v>0</v>
      </c>
      <c r="BR49" s="242" t="e">
        <f t="shared" si="35"/>
        <v>#DIV/0!</v>
      </c>
      <c r="BS49" s="75">
        <f t="shared" si="106"/>
        <v>0</v>
      </c>
      <c r="BT49" s="15">
        <f t="shared" si="107"/>
        <v>0</v>
      </c>
      <c r="BU49" s="15">
        <f t="shared" si="108"/>
        <v>0</v>
      </c>
      <c r="BV49" s="17">
        <f t="shared" si="109"/>
        <v>0</v>
      </c>
      <c r="BW49" s="72">
        <f t="shared" si="37"/>
        <v>0</v>
      </c>
      <c r="BX49" s="14">
        <f t="shared" si="38"/>
        <v>0</v>
      </c>
      <c r="BY49" s="15">
        <f t="shared" si="97"/>
        <v>0</v>
      </c>
      <c r="BZ49" s="14">
        <f t="shared" si="98"/>
        <v>0</v>
      </c>
      <c r="CA49" s="73">
        <f t="shared" si="39"/>
        <v>0</v>
      </c>
      <c r="CB49" s="192" t="e">
        <f t="shared" si="40"/>
        <v>#DIV/0!</v>
      </c>
      <c r="CC49" s="72" t="e">
        <f t="shared" si="41"/>
        <v>#DIV/0!</v>
      </c>
      <c r="CD49" s="14">
        <f t="shared" si="42"/>
        <v>0</v>
      </c>
      <c r="CE49" s="19">
        <f t="shared" si="99"/>
        <v>0</v>
      </c>
      <c r="CF49" s="19">
        <f t="shared" si="43"/>
        <v>0</v>
      </c>
      <c r="CG49" s="20" t="e">
        <f t="shared" si="44"/>
        <v>#DIV/0!</v>
      </c>
      <c r="CH49" s="20" t="e">
        <f t="shared" si="45"/>
        <v>#DIV/0!</v>
      </c>
      <c r="CI49" s="83" t="e">
        <f t="shared" si="100"/>
        <v>#DIV/0!</v>
      </c>
      <c r="CJ49" s="77" t="e">
        <f t="shared" si="46"/>
        <v>#DIV/0!</v>
      </c>
      <c r="CK49" s="2" t="e">
        <f t="shared" si="101"/>
        <v>#DIV/0!</v>
      </c>
      <c r="CL49" s="2" t="str">
        <f t="shared" si="47"/>
        <v/>
      </c>
      <c r="CM49" s="231" t="e">
        <f t="shared" si="102"/>
        <v>#DIV/0!</v>
      </c>
      <c r="CN49" s="233" t="e">
        <f t="shared" si="103"/>
        <v>#DIV/0!</v>
      </c>
      <c r="CO49" s="233">
        <f t="shared" si="104"/>
        <v>0</v>
      </c>
      <c r="CP49" s="2">
        <f t="shared" si="48"/>
        <v>1</v>
      </c>
      <c r="CQ49" s="2">
        <f t="shared" si="49"/>
        <v>1</v>
      </c>
      <c r="CR49" s="2" t="str">
        <f t="shared" si="50"/>
        <v/>
      </c>
      <c r="CS49" s="2">
        <f t="shared" si="51"/>
        <v>0</v>
      </c>
      <c r="CT49" s="191">
        <f t="shared" si="52"/>
        <v>0</v>
      </c>
      <c r="CU49" s="2" t="str">
        <f t="shared" si="53"/>
        <v>OK</v>
      </c>
      <c r="CV49" s="232">
        <f t="shared" si="54"/>
        <v>0.05</v>
      </c>
      <c r="CW49" s="191" t="e">
        <f t="shared" si="55"/>
        <v>#DIV/0!</v>
      </c>
      <c r="CX49" s="191" t="e">
        <f t="shared" si="56"/>
        <v>#DIV/0!</v>
      </c>
      <c r="CY49" s="191" t="e">
        <f t="shared" si="57"/>
        <v>#DIV/0!</v>
      </c>
      <c r="CZ49" s="191" t="e">
        <f t="shared" si="58"/>
        <v>#DIV/0!</v>
      </c>
      <c r="DA49" s="191">
        <f t="shared" si="59"/>
        <v>1</v>
      </c>
      <c r="DB49" s="191">
        <f t="shared" si="60"/>
        <v>0</v>
      </c>
      <c r="DC49" s="2" t="str">
        <f t="shared" si="61"/>
        <v>Soft</v>
      </c>
      <c r="DD49" s="2"/>
      <c r="DE49" s="2">
        <f t="shared" si="62"/>
        <v>0</v>
      </c>
      <c r="DF49" s="191" t="e">
        <f t="shared" si="63"/>
        <v>#DIV/0!</v>
      </c>
      <c r="DG49" s="191" t="e">
        <f t="shared" si="64"/>
        <v>#DIV/0!</v>
      </c>
      <c r="DH49" s="191" t="e">
        <f t="shared" si="65"/>
        <v>#DIV/0!</v>
      </c>
      <c r="DI49" s="191" t="e">
        <f t="shared" si="66"/>
        <v>#DIV/0!</v>
      </c>
      <c r="DJ49" s="191" t="e">
        <f t="shared" si="105"/>
        <v>#DIV/0!</v>
      </c>
      <c r="DK49" s="2"/>
      <c r="DL49" s="2"/>
      <c r="DM49" s="2"/>
      <c r="DN49" s="2">
        <f t="shared" si="67"/>
        <v>1</v>
      </c>
      <c r="DO49" s="191" t="e">
        <f t="shared" si="68"/>
        <v>#DIV/0!</v>
      </c>
      <c r="DP49" s="191" t="e">
        <f t="shared" si="69"/>
        <v>#DIV/0!</v>
      </c>
      <c r="DQ49" s="191" t="e">
        <f t="shared" si="70"/>
        <v>#DIV/0!</v>
      </c>
      <c r="DR49" s="191" t="e">
        <f t="shared" si="71"/>
        <v>#DIV/0!</v>
      </c>
      <c r="DS49" s="191" t="e">
        <f t="shared" si="72"/>
        <v>#DIV/0!</v>
      </c>
      <c r="DT49" s="191" t="e">
        <f t="shared" si="73"/>
        <v>#DIV/0!</v>
      </c>
      <c r="DU49" s="191">
        <f t="shared" si="74"/>
        <v>0</v>
      </c>
      <c r="DV49" s="2"/>
      <c r="DW49" s="2" t="b">
        <f t="shared" si="75"/>
        <v>1</v>
      </c>
      <c r="DX49" s="2" t="b">
        <f t="shared" si="76"/>
        <v>1</v>
      </c>
      <c r="DY49" s="2" t="b">
        <f t="shared" si="77"/>
        <v>1</v>
      </c>
      <c r="DZ49" s="2" t="b">
        <f t="shared" si="78"/>
        <v>1</v>
      </c>
      <c r="EA49" s="2" t="b">
        <f t="shared" si="79"/>
        <v>1</v>
      </c>
      <c r="EB49"/>
    </row>
    <row r="50" spans="1:132" s="108" customFormat="1" ht="18.5" hidden="1" thickBot="1" x14ac:dyDescent="0.45">
      <c r="A50" s="109"/>
      <c r="B50" s="88" t="str">
        <f t="shared" si="80"/>
        <v>-</v>
      </c>
      <c r="C50" s="118">
        <v>31</v>
      </c>
      <c r="D50" s="792"/>
      <c r="E50" s="798"/>
      <c r="F50" s="555"/>
      <c r="G50" s="556"/>
      <c r="H50" s="557"/>
      <c r="I50" s="558"/>
      <c r="J50" s="559"/>
      <c r="K50" s="560"/>
      <c r="L50" s="560"/>
      <c r="M50" s="560"/>
      <c r="N50" s="561"/>
      <c r="O50" s="562"/>
      <c r="P50" s="563"/>
      <c r="Q50" s="564"/>
      <c r="R50" s="565"/>
      <c r="S50" s="112" t="str">
        <f t="shared" si="2"/>
        <v/>
      </c>
      <c r="T50" s="113" t="str">
        <f t="shared" si="3"/>
        <v/>
      </c>
      <c r="U50" s="114">
        <f t="shared" si="4"/>
        <v>0</v>
      </c>
      <c r="V50" s="117" t="str">
        <f t="shared" si="5"/>
        <v/>
      </c>
      <c r="W50" s="234" t="str">
        <f t="shared" si="6"/>
        <v/>
      </c>
      <c r="X50" s="115">
        <f t="shared" si="7"/>
        <v>0</v>
      </c>
      <c r="Y50" s="116" t="str">
        <f t="shared" si="8"/>
        <v/>
      </c>
      <c r="Z50" s="111"/>
      <c r="AA50" s="2"/>
      <c r="AB50" s="2">
        <v>31</v>
      </c>
      <c r="AC50" s="22" t="str">
        <f t="shared" si="9"/>
        <v>-</v>
      </c>
      <c r="AD50" s="22">
        <f t="shared" si="81"/>
        <v>0</v>
      </c>
      <c r="AE50" s="22">
        <f t="shared" si="82"/>
        <v>0</v>
      </c>
      <c r="AF50" s="22"/>
      <c r="AG50" s="21">
        <f t="shared" si="83"/>
        <v>0</v>
      </c>
      <c r="AH50" s="6">
        <f t="shared" si="10"/>
        <v>0</v>
      </c>
      <c r="AI50" s="7">
        <f>IF(SUM(AH50:AH$99)=0,0,F50&gt;0)</f>
        <v>0</v>
      </c>
      <c r="AJ50" s="6">
        <f t="shared" si="11"/>
        <v>0</v>
      </c>
      <c r="AK50" s="7">
        <f>IF(SUM(AH50:AH$99)=0,0,AND(AI50=FALSE,AJ50=0,SUM(AJ50:AJ$99)&gt;0))</f>
        <v>0</v>
      </c>
      <c r="AL50" s="7">
        <f t="shared" si="84"/>
        <v>0</v>
      </c>
      <c r="AM50" s="7">
        <f t="shared" si="13"/>
        <v>0</v>
      </c>
      <c r="AN50" s="9">
        <f t="shared" si="14"/>
        <v>0</v>
      </c>
      <c r="AO50" s="9">
        <f t="shared" si="15"/>
        <v>0</v>
      </c>
      <c r="AP50" s="486">
        <f t="shared" si="16"/>
        <v>0</v>
      </c>
      <c r="AQ50" s="486">
        <f t="shared" si="85"/>
        <v>0</v>
      </c>
      <c r="AR50" s="7">
        <f t="shared" si="17"/>
        <v>0</v>
      </c>
      <c r="AS50" s="7" t="str">
        <f t="shared" si="86"/>
        <v/>
      </c>
      <c r="AT50" s="7">
        <f t="shared" si="18"/>
        <v>0</v>
      </c>
      <c r="AU50" s="485">
        <f t="shared" si="87"/>
        <v>0</v>
      </c>
      <c r="AV50" s="7">
        <f t="shared" si="19"/>
        <v>0</v>
      </c>
      <c r="AW50" s="7">
        <f t="shared" si="20"/>
        <v>0</v>
      </c>
      <c r="AX50" s="7">
        <f t="shared" si="21"/>
        <v>0</v>
      </c>
      <c r="AY50" s="484">
        <f t="shared" si="88"/>
        <v>0</v>
      </c>
      <c r="AZ50" s="7">
        <f t="shared" si="22"/>
        <v>0</v>
      </c>
      <c r="BA50" s="483">
        <f t="shared" si="89"/>
        <v>0</v>
      </c>
      <c r="BB50" s="487" t="str">
        <f t="shared" si="90"/>
        <v/>
      </c>
      <c r="BC50" s="487" t="str">
        <f t="shared" si="91"/>
        <v/>
      </c>
      <c r="BD50" s="7">
        <f t="shared" si="23"/>
        <v>0</v>
      </c>
      <c r="BE50" s="7">
        <f t="shared" si="24"/>
        <v>0</v>
      </c>
      <c r="BF50" s="7">
        <f t="shared" si="25"/>
        <v>0</v>
      </c>
      <c r="BG50" s="8" t="b">
        <f t="shared" si="26"/>
        <v>0</v>
      </c>
      <c r="BH50" s="235" t="str">
        <f t="shared" si="27"/>
        <v/>
      </c>
      <c r="BI50" s="75">
        <f t="shared" si="28"/>
        <v>0</v>
      </c>
      <c r="BJ50" s="15">
        <f t="shared" si="29"/>
        <v>0</v>
      </c>
      <c r="BK50" s="15">
        <f t="shared" si="92"/>
        <v>0</v>
      </c>
      <c r="BL50" s="18">
        <f t="shared" si="30"/>
        <v>0</v>
      </c>
      <c r="BM50" s="78">
        <f t="shared" si="31"/>
        <v>0</v>
      </c>
      <c r="BN50" s="14">
        <f t="shared" si="32"/>
        <v>0</v>
      </c>
      <c r="BO50" s="14">
        <f t="shared" si="33"/>
        <v>0</v>
      </c>
      <c r="BP50" s="15">
        <f t="shared" si="93"/>
        <v>0</v>
      </c>
      <c r="BQ50" s="73">
        <f t="shared" si="34"/>
        <v>0</v>
      </c>
      <c r="BR50" s="242" t="e">
        <f t="shared" si="35"/>
        <v>#DIV/0!</v>
      </c>
      <c r="BS50" s="75">
        <f t="shared" si="106"/>
        <v>0</v>
      </c>
      <c r="BT50" s="15">
        <f t="shared" si="107"/>
        <v>0</v>
      </c>
      <c r="BU50" s="15">
        <f t="shared" si="108"/>
        <v>0</v>
      </c>
      <c r="BV50" s="17">
        <f t="shared" si="109"/>
        <v>0</v>
      </c>
      <c r="BW50" s="72">
        <f t="shared" si="37"/>
        <v>0</v>
      </c>
      <c r="BX50" s="14">
        <f t="shared" si="38"/>
        <v>0</v>
      </c>
      <c r="BY50" s="15">
        <f t="shared" si="97"/>
        <v>0</v>
      </c>
      <c r="BZ50" s="14">
        <f t="shared" si="98"/>
        <v>0</v>
      </c>
      <c r="CA50" s="73">
        <f t="shared" si="39"/>
        <v>0</v>
      </c>
      <c r="CB50" s="192" t="e">
        <f t="shared" si="40"/>
        <v>#DIV/0!</v>
      </c>
      <c r="CC50" s="72" t="e">
        <f t="shared" si="41"/>
        <v>#DIV/0!</v>
      </c>
      <c r="CD50" s="14">
        <f t="shared" si="42"/>
        <v>0</v>
      </c>
      <c r="CE50" s="19">
        <f t="shared" si="99"/>
        <v>0</v>
      </c>
      <c r="CF50" s="19">
        <f t="shared" si="43"/>
        <v>0</v>
      </c>
      <c r="CG50" s="20" t="e">
        <f t="shared" si="44"/>
        <v>#DIV/0!</v>
      </c>
      <c r="CH50" s="20" t="e">
        <f t="shared" si="45"/>
        <v>#DIV/0!</v>
      </c>
      <c r="CI50" s="83" t="e">
        <f t="shared" si="100"/>
        <v>#DIV/0!</v>
      </c>
      <c r="CJ50" s="77" t="e">
        <f t="shared" si="46"/>
        <v>#DIV/0!</v>
      </c>
      <c r="CK50" s="2" t="e">
        <f t="shared" si="101"/>
        <v>#DIV/0!</v>
      </c>
      <c r="CL50" s="2" t="str">
        <f t="shared" si="47"/>
        <v/>
      </c>
      <c r="CM50" s="231" t="e">
        <f t="shared" si="102"/>
        <v>#DIV/0!</v>
      </c>
      <c r="CN50" s="233" t="e">
        <f t="shared" si="103"/>
        <v>#DIV/0!</v>
      </c>
      <c r="CO50" s="233">
        <f t="shared" si="104"/>
        <v>0</v>
      </c>
      <c r="CP50" s="2">
        <f t="shared" si="48"/>
        <v>1</v>
      </c>
      <c r="CQ50" s="2">
        <f t="shared" si="49"/>
        <v>1</v>
      </c>
      <c r="CR50" s="2" t="str">
        <f t="shared" si="50"/>
        <v/>
      </c>
      <c r="CS50" s="2">
        <f t="shared" si="51"/>
        <v>0</v>
      </c>
      <c r="CT50" s="191">
        <f t="shared" si="52"/>
        <v>0</v>
      </c>
      <c r="CU50" s="2" t="str">
        <f t="shared" si="53"/>
        <v>OK</v>
      </c>
      <c r="CV50" s="232">
        <f t="shared" si="54"/>
        <v>0.05</v>
      </c>
      <c r="CW50" s="191" t="e">
        <f t="shared" si="55"/>
        <v>#DIV/0!</v>
      </c>
      <c r="CX50" s="191" t="e">
        <f t="shared" si="56"/>
        <v>#DIV/0!</v>
      </c>
      <c r="CY50" s="191" t="e">
        <f t="shared" si="57"/>
        <v>#DIV/0!</v>
      </c>
      <c r="CZ50" s="191" t="e">
        <f t="shared" si="58"/>
        <v>#DIV/0!</v>
      </c>
      <c r="DA50" s="191">
        <f t="shared" si="59"/>
        <v>1</v>
      </c>
      <c r="DB50" s="191">
        <f t="shared" si="60"/>
        <v>0</v>
      </c>
      <c r="DC50" s="2" t="str">
        <f t="shared" si="61"/>
        <v>Soft</v>
      </c>
      <c r="DD50" s="2"/>
      <c r="DE50" s="2">
        <f t="shared" si="62"/>
        <v>0</v>
      </c>
      <c r="DF50" s="191" t="e">
        <f t="shared" si="63"/>
        <v>#DIV/0!</v>
      </c>
      <c r="DG50" s="191" t="e">
        <f t="shared" si="64"/>
        <v>#DIV/0!</v>
      </c>
      <c r="DH50" s="191" t="e">
        <f t="shared" si="65"/>
        <v>#DIV/0!</v>
      </c>
      <c r="DI50" s="191" t="e">
        <f t="shared" si="66"/>
        <v>#DIV/0!</v>
      </c>
      <c r="DJ50" s="191" t="e">
        <f t="shared" si="105"/>
        <v>#DIV/0!</v>
      </c>
      <c r="DK50" s="2"/>
      <c r="DL50" s="2"/>
      <c r="DM50" s="2"/>
      <c r="DN50" s="2">
        <f t="shared" si="67"/>
        <v>1</v>
      </c>
      <c r="DO50" s="191" t="e">
        <f t="shared" si="68"/>
        <v>#DIV/0!</v>
      </c>
      <c r="DP50" s="191" t="e">
        <f t="shared" si="69"/>
        <v>#DIV/0!</v>
      </c>
      <c r="DQ50" s="191" t="e">
        <f t="shared" si="70"/>
        <v>#DIV/0!</v>
      </c>
      <c r="DR50" s="191" t="e">
        <f t="shared" si="71"/>
        <v>#DIV/0!</v>
      </c>
      <c r="DS50" s="191" t="e">
        <f t="shared" si="72"/>
        <v>#DIV/0!</v>
      </c>
      <c r="DT50" s="191" t="e">
        <f t="shared" si="73"/>
        <v>#DIV/0!</v>
      </c>
      <c r="DU50" s="191">
        <f t="shared" si="74"/>
        <v>0</v>
      </c>
      <c r="DV50" s="2"/>
      <c r="DW50" s="2" t="b">
        <f t="shared" si="75"/>
        <v>1</v>
      </c>
      <c r="DX50" s="2" t="b">
        <f t="shared" si="76"/>
        <v>1</v>
      </c>
      <c r="DY50" s="2" t="b">
        <f t="shared" si="77"/>
        <v>1</v>
      </c>
      <c r="DZ50" s="2" t="b">
        <f t="shared" si="78"/>
        <v>1</v>
      </c>
      <c r="EA50" s="2" t="b">
        <f t="shared" si="79"/>
        <v>1</v>
      </c>
      <c r="EB50"/>
    </row>
    <row r="51" spans="1:132" s="108" customFormat="1" ht="18.5" hidden="1" thickBot="1" x14ac:dyDescent="0.45">
      <c r="A51" s="109"/>
      <c r="B51" s="88" t="str">
        <f t="shared" si="80"/>
        <v>-</v>
      </c>
      <c r="C51" s="118">
        <v>32</v>
      </c>
      <c r="D51" s="792"/>
      <c r="E51" s="798"/>
      <c r="F51" s="555"/>
      <c r="G51" s="556"/>
      <c r="H51" s="557"/>
      <c r="I51" s="558"/>
      <c r="J51" s="559"/>
      <c r="K51" s="560"/>
      <c r="L51" s="560"/>
      <c r="M51" s="560"/>
      <c r="N51" s="561"/>
      <c r="O51" s="562"/>
      <c r="P51" s="563"/>
      <c r="Q51" s="564"/>
      <c r="R51" s="565"/>
      <c r="S51" s="112" t="str">
        <f t="shared" si="2"/>
        <v/>
      </c>
      <c r="T51" s="113" t="str">
        <f t="shared" si="3"/>
        <v/>
      </c>
      <c r="U51" s="114">
        <f t="shared" si="4"/>
        <v>0</v>
      </c>
      <c r="V51" s="117" t="str">
        <f t="shared" si="5"/>
        <v/>
      </c>
      <c r="W51" s="234" t="str">
        <f t="shared" si="6"/>
        <v/>
      </c>
      <c r="X51" s="115">
        <f t="shared" si="7"/>
        <v>0</v>
      </c>
      <c r="Y51" s="116" t="str">
        <f t="shared" si="8"/>
        <v/>
      </c>
      <c r="Z51" s="111"/>
      <c r="AA51" s="2"/>
      <c r="AB51" s="2">
        <v>32</v>
      </c>
      <c r="AC51" s="22" t="str">
        <f t="shared" si="9"/>
        <v>-</v>
      </c>
      <c r="AD51" s="22">
        <f t="shared" si="81"/>
        <v>0</v>
      </c>
      <c r="AE51" s="22">
        <f t="shared" si="82"/>
        <v>0</v>
      </c>
      <c r="AF51" s="22"/>
      <c r="AG51" s="21">
        <f t="shared" si="83"/>
        <v>0</v>
      </c>
      <c r="AH51" s="6">
        <f t="shared" si="10"/>
        <v>0</v>
      </c>
      <c r="AI51" s="7">
        <f>IF(SUM(AH51:AH$99)=0,0,F51&gt;0)</f>
        <v>0</v>
      </c>
      <c r="AJ51" s="6">
        <f t="shared" si="11"/>
        <v>0</v>
      </c>
      <c r="AK51" s="7">
        <f>IF(SUM(AH51:AH$99)=0,0,AND(AI51=FALSE,AJ51=0,SUM(AJ51:AJ$99)&gt;0))</f>
        <v>0</v>
      </c>
      <c r="AL51" s="7">
        <f t="shared" si="84"/>
        <v>0</v>
      </c>
      <c r="AM51" s="7">
        <f t="shared" si="13"/>
        <v>0</v>
      </c>
      <c r="AN51" s="9">
        <f t="shared" si="14"/>
        <v>0</v>
      </c>
      <c r="AO51" s="9">
        <f t="shared" si="15"/>
        <v>0</v>
      </c>
      <c r="AP51" s="486">
        <f t="shared" si="16"/>
        <v>0</v>
      </c>
      <c r="AQ51" s="486">
        <f t="shared" si="85"/>
        <v>0</v>
      </c>
      <c r="AR51" s="7">
        <f t="shared" si="17"/>
        <v>0</v>
      </c>
      <c r="AS51" s="7" t="str">
        <f t="shared" si="86"/>
        <v/>
      </c>
      <c r="AT51" s="7">
        <f t="shared" si="18"/>
        <v>0</v>
      </c>
      <c r="AU51" s="485">
        <f t="shared" si="87"/>
        <v>0</v>
      </c>
      <c r="AV51" s="7">
        <f t="shared" si="19"/>
        <v>0</v>
      </c>
      <c r="AW51" s="7">
        <f t="shared" si="20"/>
        <v>0</v>
      </c>
      <c r="AX51" s="7">
        <f t="shared" si="21"/>
        <v>0</v>
      </c>
      <c r="AY51" s="484">
        <f t="shared" si="88"/>
        <v>0</v>
      </c>
      <c r="AZ51" s="7">
        <f t="shared" si="22"/>
        <v>0</v>
      </c>
      <c r="BA51" s="483">
        <f t="shared" si="89"/>
        <v>0</v>
      </c>
      <c r="BB51" s="487" t="str">
        <f t="shared" si="90"/>
        <v/>
      </c>
      <c r="BC51" s="487" t="str">
        <f t="shared" si="91"/>
        <v/>
      </c>
      <c r="BD51" s="7">
        <f t="shared" si="23"/>
        <v>0</v>
      </c>
      <c r="BE51" s="7">
        <f t="shared" si="24"/>
        <v>0</v>
      </c>
      <c r="BF51" s="7">
        <f t="shared" si="25"/>
        <v>0</v>
      </c>
      <c r="BG51" s="8" t="b">
        <f t="shared" si="26"/>
        <v>0</v>
      </c>
      <c r="BH51" s="235" t="str">
        <f t="shared" si="27"/>
        <v/>
      </c>
      <c r="BI51" s="75">
        <f t="shared" si="28"/>
        <v>0</v>
      </c>
      <c r="BJ51" s="15">
        <f t="shared" si="29"/>
        <v>0</v>
      </c>
      <c r="BK51" s="15">
        <f t="shared" si="92"/>
        <v>0</v>
      </c>
      <c r="BL51" s="18">
        <f t="shared" si="30"/>
        <v>0</v>
      </c>
      <c r="BM51" s="78">
        <f t="shared" si="31"/>
        <v>0</v>
      </c>
      <c r="BN51" s="14">
        <f t="shared" si="32"/>
        <v>0</v>
      </c>
      <c r="BO51" s="14">
        <f t="shared" si="33"/>
        <v>0</v>
      </c>
      <c r="BP51" s="15">
        <f t="shared" si="93"/>
        <v>0</v>
      </c>
      <c r="BQ51" s="73">
        <f t="shared" si="34"/>
        <v>0</v>
      </c>
      <c r="BR51" s="242" t="e">
        <f t="shared" si="35"/>
        <v>#DIV/0!</v>
      </c>
      <c r="BS51" s="75">
        <f t="shared" si="106"/>
        <v>0</v>
      </c>
      <c r="BT51" s="15">
        <f t="shared" si="107"/>
        <v>0</v>
      </c>
      <c r="BU51" s="15">
        <f t="shared" si="108"/>
        <v>0</v>
      </c>
      <c r="BV51" s="17">
        <f t="shared" si="109"/>
        <v>0</v>
      </c>
      <c r="BW51" s="72">
        <f t="shared" si="37"/>
        <v>0</v>
      </c>
      <c r="BX51" s="14">
        <f t="shared" si="38"/>
        <v>0</v>
      </c>
      <c r="BY51" s="15">
        <f t="shared" si="97"/>
        <v>0</v>
      </c>
      <c r="BZ51" s="14">
        <f t="shared" si="98"/>
        <v>0</v>
      </c>
      <c r="CA51" s="73">
        <f t="shared" si="39"/>
        <v>0</v>
      </c>
      <c r="CB51" s="192" t="e">
        <f t="shared" si="40"/>
        <v>#DIV/0!</v>
      </c>
      <c r="CC51" s="72" t="e">
        <f t="shared" si="41"/>
        <v>#DIV/0!</v>
      </c>
      <c r="CD51" s="14">
        <f t="shared" si="42"/>
        <v>0</v>
      </c>
      <c r="CE51" s="19">
        <f t="shared" si="99"/>
        <v>0</v>
      </c>
      <c r="CF51" s="19">
        <f t="shared" si="43"/>
        <v>0</v>
      </c>
      <c r="CG51" s="20" t="e">
        <f t="shared" si="44"/>
        <v>#DIV/0!</v>
      </c>
      <c r="CH51" s="20" t="e">
        <f t="shared" si="45"/>
        <v>#DIV/0!</v>
      </c>
      <c r="CI51" s="83" t="e">
        <f t="shared" si="100"/>
        <v>#DIV/0!</v>
      </c>
      <c r="CJ51" s="77" t="e">
        <f t="shared" si="46"/>
        <v>#DIV/0!</v>
      </c>
      <c r="CK51" s="2" t="e">
        <f t="shared" si="101"/>
        <v>#DIV/0!</v>
      </c>
      <c r="CL51" s="2" t="str">
        <f t="shared" si="47"/>
        <v/>
      </c>
      <c r="CM51" s="231" t="e">
        <f t="shared" si="102"/>
        <v>#DIV/0!</v>
      </c>
      <c r="CN51" s="233" t="e">
        <f t="shared" si="103"/>
        <v>#DIV/0!</v>
      </c>
      <c r="CO51" s="233">
        <f t="shared" si="104"/>
        <v>0</v>
      </c>
      <c r="CP51" s="2">
        <f t="shared" si="48"/>
        <v>1</v>
      </c>
      <c r="CQ51" s="2">
        <f t="shared" si="49"/>
        <v>1</v>
      </c>
      <c r="CR51" s="2" t="str">
        <f t="shared" si="50"/>
        <v/>
      </c>
      <c r="CS51" s="2">
        <f t="shared" si="51"/>
        <v>0</v>
      </c>
      <c r="CT51" s="191">
        <f t="shared" si="52"/>
        <v>0</v>
      </c>
      <c r="CU51" s="2" t="str">
        <f t="shared" si="53"/>
        <v>OK</v>
      </c>
      <c r="CV51" s="232">
        <f t="shared" si="54"/>
        <v>0.05</v>
      </c>
      <c r="CW51" s="191" t="e">
        <f t="shared" si="55"/>
        <v>#DIV/0!</v>
      </c>
      <c r="CX51" s="191" t="e">
        <f t="shared" si="56"/>
        <v>#DIV/0!</v>
      </c>
      <c r="CY51" s="191" t="e">
        <f t="shared" si="57"/>
        <v>#DIV/0!</v>
      </c>
      <c r="CZ51" s="191" t="e">
        <f t="shared" si="58"/>
        <v>#DIV/0!</v>
      </c>
      <c r="DA51" s="191">
        <f t="shared" si="59"/>
        <v>1</v>
      </c>
      <c r="DB51" s="191">
        <f t="shared" si="60"/>
        <v>0</v>
      </c>
      <c r="DC51" s="2" t="str">
        <f t="shared" si="61"/>
        <v>Soft</v>
      </c>
      <c r="DD51" s="2"/>
      <c r="DE51" s="2">
        <f t="shared" si="62"/>
        <v>0</v>
      </c>
      <c r="DF51" s="191" t="e">
        <f t="shared" si="63"/>
        <v>#DIV/0!</v>
      </c>
      <c r="DG51" s="191" t="e">
        <f t="shared" si="64"/>
        <v>#DIV/0!</v>
      </c>
      <c r="DH51" s="191" t="e">
        <f t="shared" si="65"/>
        <v>#DIV/0!</v>
      </c>
      <c r="DI51" s="191" t="e">
        <f t="shared" si="66"/>
        <v>#DIV/0!</v>
      </c>
      <c r="DJ51" s="191" t="e">
        <f t="shared" si="105"/>
        <v>#DIV/0!</v>
      </c>
      <c r="DK51" s="2"/>
      <c r="DL51" s="2"/>
      <c r="DM51" s="2"/>
      <c r="DN51" s="2">
        <f t="shared" si="67"/>
        <v>1</v>
      </c>
      <c r="DO51" s="191" t="e">
        <f t="shared" si="68"/>
        <v>#DIV/0!</v>
      </c>
      <c r="DP51" s="191" t="e">
        <f t="shared" si="69"/>
        <v>#DIV/0!</v>
      </c>
      <c r="DQ51" s="191" t="e">
        <f t="shared" si="70"/>
        <v>#DIV/0!</v>
      </c>
      <c r="DR51" s="191" t="e">
        <f t="shared" si="71"/>
        <v>#DIV/0!</v>
      </c>
      <c r="DS51" s="191" t="e">
        <f t="shared" si="72"/>
        <v>#DIV/0!</v>
      </c>
      <c r="DT51" s="191" t="e">
        <f t="shared" si="73"/>
        <v>#DIV/0!</v>
      </c>
      <c r="DU51" s="191">
        <f t="shared" si="74"/>
        <v>0</v>
      </c>
      <c r="DV51" s="2"/>
      <c r="DW51" s="2" t="b">
        <f t="shared" si="75"/>
        <v>1</v>
      </c>
      <c r="DX51" s="2" t="b">
        <f t="shared" si="76"/>
        <v>1</v>
      </c>
      <c r="DY51" s="2" t="b">
        <f t="shared" si="77"/>
        <v>1</v>
      </c>
      <c r="DZ51" s="2" t="b">
        <f t="shared" si="78"/>
        <v>1</v>
      </c>
      <c r="EA51" s="2" t="b">
        <f t="shared" si="79"/>
        <v>1</v>
      </c>
      <c r="EB51"/>
    </row>
    <row r="52" spans="1:132" s="108" customFormat="1" ht="18.5" hidden="1" thickBot="1" x14ac:dyDescent="0.45">
      <c r="A52" s="109"/>
      <c r="B52" s="88" t="str">
        <f t="shared" si="80"/>
        <v>-</v>
      </c>
      <c r="C52" s="118">
        <v>33</v>
      </c>
      <c r="D52" s="794"/>
      <c r="E52" s="795"/>
      <c r="F52" s="566"/>
      <c r="G52" s="567"/>
      <c r="H52" s="568"/>
      <c r="I52" s="558"/>
      <c r="J52" s="559"/>
      <c r="K52" s="560"/>
      <c r="L52" s="560"/>
      <c r="M52" s="560"/>
      <c r="N52" s="561"/>
      <c r="O52" s="562"/>
      <c r="P52" s="563"/>
      <c r="Q52" s="564"/>
      <c r="R52" s="565"/>
      <c r="S52" s="112" t="str">
        <f t="shared" ref="S52:S83" si="110">IF(AND(AY52=TRUE,AZ52=TRUE,InputIssues=0),IF(Q52="device",2,IF(BD52=FALSE,1,0.5)*Q52/R52),"")</f>
        <v/>
      </c>
      <c r="T52" s="113" t="str">
        <f t="shared" ref="T52:T83" si="111">IF(AND(AY52=TRUE,InputIssues=0),IF(T$19=F$165,BQ52,IF(T$19=G$165,BZ52,BZ52/BQ52)),"")</f>
        <v/>
      </c>
      <c r="U52" s="114">
        <f t="shared" ref="U52:U83" si="112">IF(InputIssues=0,MAX(G52*H52,I52),0)</f>
        <v>0</v>
      </c>
      <c r="V52" s="117" t="str">
        <f t="shared" ref="V52:V83" si="113">IF(AllInputsOK=FALSE,"",CL52)</f>
        <v/>
      </c>
      <c r="W52" s="234" t="str">
        <f t="shared" ref="W52:W83" si="114">IF(AllInputsOK=FALSE,"",CK52)</f>
        <v/>
      </c>
      <c r="X52" s="115">
        <f t="shared" si="7"/>
        <v>0</v>
      </c>
      <c r="Y52" s="116" t="str">
        <f t="shared" ref="Y52:Y83" si="115">IF(AllInputsOK=FALSE,"",CJ52)</f>
        <v/>
      </c>
      <c r="Z52" s="111"/>
      <c r="AA52" s="2"/>
      <c r="AB52" s="2">
        <v>33</v>
      </c>
      <c r="AC52" s="22" t="str">
        <f t="shared" si="9"/>
        <v>-</v>
      </c>
      <c r="AD52" s="22">
        <f t="shared" si="81"/>
        <v>0</v>
      </c>
      <c r="AE52" s="22">
        <f t="shared" si="82"/>
        <v>0</v>
      </c>
      <c r="AF52" s="22"/>
      <c r="AG52" s="21">
        <f t="shared" si="83"/>
        <v>0</v>
      </c>
      <c r="AH52" s="6">
        <f t="shared" ref="AH52:AH83" si="116">COUNTA(D52:R52)</f>
        <v>0</v>
      </c>
      <c r="AI52" s="7">
        <f>IF(SUM(AH52:AH$99)=0,0,F52&gt;0)</f>
        <v>0</v>
      </c>
      <c r="AJ52" s="6">
        <f t="shared" ref="AJ52:AJ83" si="117">COUNTA(G52:R52)</f>
        <v>0</v>
      </c>
      <c r="AK52" s="7">
        <f>IF(SUM(AH52:AH$99)=0,0,AND(AI52=FALSE,AJ52=0,SUM(AJ52:AJ$99)&gt;0))</f>
        <v>0</v>
      </c>
      <c r="AL52" s="7">
        <f t="shared" si="84"/>
        <v>0</v>
      </c>
      <c r="AM52" s="7">
        <f t="shared" ref="AM52:AM83" si="118">IF(AH52=0,0,AND(AN52&lt;&gt;TRUE,COUNTIF(AR52:AX52,TRUE)=0,G52=0,Q52&lt;&gt;"device",R52&gt;0))</f>
        <v>0</v>
      </c>
      <c r="AN52" s="9">
        <f t="shared" ref="AN52:AN83" si="119">IF(AH52=0,0,AND(AI52=TRUE,G52*H52=0,I52=0))</f>
        <v>0</v>
      </c>
      <c r="AO52" s="9">
        <f t="shared" ref="AO52:AO83" si="120">IF(H52=0,0,G52*H52&lt;I52)</f>
        <v>0</v>
      </c>
      <c r="AP52" s="486">
        <f t="shared" ref="AP52:AP83" si="121">IF(AH52=0,0,AND(AI52=TRUE,OR(AND(K52="Ground: direct",AreaA=0),AND(K52="Ground: suspended",AreaB=0),AND(K52="upper",$F$12=0))))</f>
        <v>0</v>
      </c>
      <c r="AQ52" s="486">
        <f t="shared" si="85"/>
        <v>0</v>
      </c>
      <c r="AR52" s="7">
        <f t="shared" ref="AR52:AR83" si="122">IF(AH52=0,0,AND(AI52=TRUE,AN52=FALSE,ISBLANK(O52)))</f>
        <v>0</v>
      </c>
      <c r="AS52" s="7" t="str">
        <f t="shared" si="86"/>
        <v/>
      </c>
      <c r="AT52" s="7">
        <f t="shared" ref="AT52:AT83" si="123">IF(AH52=0,0,AND(AI52=TRUE,AN52=FALSE,ISBLANK(P52)))</f>
        <v>0</v>
      </c>
      <c r="AU52" s="485">
        <f t="shared" si="87"/>
        <v>0</v>
      </c>
      <c r="AV52" s="7">
        <f t="shared" ref="AV52:AV83" si="124">IF(AH52=0,0,AND(AR52=FALSE,AT52=FALSE,OR(Q52&lt;0,AND(ISTEXT(Q52),Q52&lt;&gt;"device"))))</f>
        <v>0</v>
      </c>
      <c r="AW52" s="7">
        <f t="shared" ref="AW52:AW83" si="125">IF(AH52=0,0,AND(AI52=TRUE,AN52=FALSE,AR52=FALSE,AT52=FALSE,AV52=FALSE,Q52&gt;0,Q52&lt;&gt;"device",R52=0))</f>
        <v>0</v>
      </c>
      <c r="AX52" s="7">
        <f t="shared" ref="AX52:AX83" si="126">IF(AH52=0,0,AND(AI52=TRUE,AN52=FALSE,AR52=FALSE,AT52=FALSE,R52&gt;0,OR(Q52=0,Q52="device")))</f>
        <v>0</v>
      </c>
      <c r="AY52" s="484">
        <f t="shared" si="88"/>
        <v>0</v>
      </c>
      <c r="AZ52" s="7">
        <f t="shared" ref="AZ52:AZ83" si="127">IF(AH52=0,0,AND(Q52&gt;0,AY52=TRUE))</f>
        <v>0</v>
      </c>
      <c r="BA52" s="483">
        <f t="shared" si="89"/>
        <v>0</v>
      </c>
      <c r="BB52" s="487" t="str">
        <f t="shared" si="90"/>
        <v/>
      </c>
      <c r="BC52" s="487" t="str">
        <f t="shared" si="91"/>
        <v/>
      </c>
      <c r="BD52" s="7">
        <f t="shared" ref="BD52:BD83" si="128">IF(AH52=0,0,AND(G52&gt;0,R52-G52&gt;0.5))</f>
        <v>0</v>
      </c>
      <c r="BE52" s="7">
        <f t="shared" ref="BE52:BE83" si="129">IF(AH52=0,0,AND(ISNUMBER(S52),S52&gt;2))</f>
        <v>0</v>
      </c>
      <c r="BF52" s="7">
        <f t="shared" ref="BF52:BF83" si="130">IF(AH52=0,0,AND(AI52=TRUE,COUNT(G52:I52)=3,G52*H52&lt;&gt;I52))</f>
        <v>0</v>
      </c>
      <c r="BG52" s="8" t="b">
        <f t="shared" ref="BG52:BG83" si="131">AND(UpperInputsAlerts=0,DudTableInputs=0,COUNTIF(CG52:CH52,TRUE)&lt;&gt;0)</f>
        <v>0</v>
      </c>
      <c r="BH52" s="235" t="str">
        <f t="shared" ref="BH52:BH83" si="132">IFERROR((R52-G52)/Q52,"")</f>
        <v/>
      </c>
      <c r="BI52" s="75">
        <f t="shared" ref="BI52:BI83" si="133">IF(S52="",0,INDEX(Projections,MATCH(S52,Projections,1),1))</f>
        <v>0</v>
      </c>
      <c r="BJ52" s="15">
        <f t="shared" ref="BJ52:BJ83" si="134">IF(S52="",0,IF(BI52=2,2,INDEX(Projections,MATCH(S52,Projections,1)+1,1)))</f>
        <v>0</v>
      </c>
      <c r="BK52" s="15">
        <f t="shared" si="92"/>
        <v>0</v>
      </c>
      <c r="BL52" s="18">
        <f t="shared" ref="BL52:BL83" si="135">IF(OR(S52="",BK52=0),0,(S52-BI52)/BK52)</f>
        <v>0</v>
      </c>
      <c r="BM52" s="78">
        <f t="shared" ref="BM52:BM83" si="136">IF(OR(AH52=0,AY52&lt;&gt;TRUE),0,F52)</f>
        <v>0</v>
      </c>
      <c r="BN52" s="14">
        <f t="shared" ref="BN52:BN83" si="137">IF(AND($AY52=TRUE,Zone=0),10,IF(OR($BM52=0,$BM52=FALSE),0,IF(Slab_or_Timb="Slab",INDEX(ExposuresSummer,MATCH($BI52,Projections,1),MATCH($BM52,Directions,0),Zone_Col),INDEX(ExposuresSummerTimber,MATCH($BI52,Projections,1),MATCH($BM52,Directions,0),Zone_Col))))</f>
        <v>0</v>
      </c>
      <c r="BO52" s="14">
        <f t="shared" ref="BO52:BO83" si="138">IF(AND($AY52=TRUE,Zone=0),10,IF(OR($BM52=0,$BM52=FALSE),0,IF(Slab_or_Timb="Slab",INDEX(ExposuresSummer,MATCH($BJ52,Projections,1),MATCH($BM52,Directions,0),Zone_Col),INDEX(ExposuresSummerTimber,MATCH($BJ52,Projections,1),MATCH($BM52,Directions,0),Zone_Col))))</f>
        <v>0</v>
      </c>
      <c r="BP52" s="15">
        <f t="shared" si="93"/>
        <v>0</v>
      </c>
      <c r="BQ52" s="73">
        <f t="shared" ref="BQ52:BQ83" si="139">(BN52-BP52*$BL52)*DB52</f>
        <v>0</v>
      </c>
      <c r="BR52" s="13"/>
      <c r="BS52" s="75">
        <f t="shared" si="106"/>
        <v>0</v>
      </c>
      <c r="BT52" s="15">
        <f t="shared" si="107"/>
        <v>0</v>
      </c>
      <c r="BU52" s="15">
        <f t="shared" si="108"/>
        <v>0</v>
      </c>
      <c r="BV52" s="17">
        <f t="shared" si="109"/>
        <v>0</v>
      </c>
      <c r="BW52" s="72">
        <f t="shared" ref="BW52:BW83" si="140">IF(AND($AY52=TRUE,Zone=0),10,IF(OR($BM52=0,$BM52=FALSE),0,IF(Slab_or_Timb="Slab",INDEX(ExposuresWinter,MATCH($BS52,Projections,1),MATCH($BM52,Directions,0),Zone_Col),INDEX(ExposuresWinterTimber,MATCH($BS52,Projections,1),MATCH($BM52,Directions,0),Zone_Col))))</f>
        <v>0</v>
      </c>
      <c r="BX52" s="14">
        <f t="shared" ref="BX52:BX83" si="141">IF(AND($AY52=TRUE,Zone=0),10,IF(OR($BM52=0,$BM52=FALSE),0,IF(Slab_or_Timb="Slab",INDEX(ExposuresWinter,MATCH($BT52,Projections,1),MATCH($BM52,Directions,0),Zone_Col),INDEX(ExposuresWinterTimber,MATCH($BT52,Projections,1),MATCH($BM52,Directions,0),Zone_Col))))</f>
        <v>0</v>
      </c>
      <c r="BY52" s="15">
        <f t="shared" si="97"/>
        <v>0</v>
      </c>
      <c r="BZ52" s="14">
        <f t="shared" si="98"/>
        <v>0</v>
      </c>
      <c r="CA52" s="73">
        <f t="shared" ref="CA52:CA83" si="142">IF(P52&gt;0.7,U52*0.7*BZ52,U52*P52*BZ52)</f>
        <v>0</v>
      </c>
      <c r="CB52" s="192" t="e">
        <f t="shared" ref="CB52:CB83" si="143">IF(Zone=1,"N/A",CA52/SUM(CA$20:CA$99))</f>
        <v>#DIV/0!</v>
      </c>
      <c r="CC52" s="72" t="e">
        <f t="shared" ref="CC52:CC83" si="144">(IF(AY52=TRUE,IF(U52="",0,U52)*O52,0))*DJ52</f>
        <v>#DIV/0!</v>
      </c>
      <c r="CD52" s="14">
        <f t="shared" ref="CD52:CD83" si="145">IF(P52&gt;0.7,0.7*IF(U52="",0,U52)*BQ52,P52*IF(U52="",0,U52)*BQ52)</f>
        <v>0</v>
      </c>
      <c r="CE52" s="19">
        <f t="shared" si="99"/>
        <v>0</v>
      </c>
      <c r="CF52" s="19">
        <f t="shared" ref="CF52:CF83" si="146">IF(AY52&lt;&gt;TRUE,0,CD52/CD$4)</f>
        <v>0</v>
      </c>
      <c r="CG52" s="20" t="e">
        <f t="shared" ref="CG52:CG83" si="147">IF(SUM(CC52:CD52)=0,0,AND(AI52=TRUE,CC$6&lt;0))</f>
        <v>#DIV/0!</v>
      </c>
      <c r="CH52" s="20" t="e">
        <f t="shared" ref="CH52:CH83" si="148">IF(Zone=8,"FALSE",IF(SUM(CC52:CD52)=0,0,AND(AI52=TRUE,CD$6&lt;0)))</f>
        <v>#DIV/0!</v>
      </c>
      <c r="CI52" s="83" t="e">
        <f t="shared" si="100"/>
        <v>#DIV/0!</v>
      </c>
      <c r="CJ52" s="77" t="e">
        <f t="shared" ref="CJ52:CJ83" si="149">IF(SUM(CC52:CD52)=0,"",IF(Zone=8,"not required",TEXT(CF52,IF(CF52&lt;0.005,"0.0%","0%"))&amp;" of "&amp;TEXT(CD$8,"0%")))</f>
        <v>#DIV/0!</v>
      </c>
      <c r="CK52" s="2" t="e">
        <f t="shared" si="101"/>
        <v>#DIV/0!</v>
      </c>
      <c r="CL52" s="2" t="str">
        <f t="shared" ref="CL52:CL83" si="150">IF(Zone=1,"N/A",IF(CE52&gt;0,TEXT(CE52,IF(CE52&lt;0.005,"0.0%","0%")),""))</f>
        <v/>
      </c>
      <c r="CM52" s="231" t="e">
        <f t="shared" si="102"/>
        <v>#DIV/0!</v>
      </c>
      <c r="CN52" s="233" t="e">
        <f t="shared" si="103"/>
        <v>#DIV/0!</v>
      </c>
      <c r="CO52" s="233">
        <f t="shared" si="104"/>
        <v>0</v>
      </c>
      <c r="CP52" s="2">
        <f t="shared" ref="CP52:CP83" si="151">IF(G52&lt;1.5,1,2)</f>
        <v>1</v>
      </c>
      <c r="CQ52" s="2">
        <f t="shared" ref="CQ52:CQ83" si="152">IF(H52&lt;=1.2,1,IF(H52&lt;2.7,2,IF(H52&gt;=2.7,3,"input")))</f>
        <v>1</v>
      </c>
      <c r="CR52" s="2" t="str">
        <f t="shared" ref="CR52:CR83" si="153">IFERROR(IF(G52&lt;=1.5,VLOOKUP(N52,Win_Open_less_1.5,CQ52+2,1),VLOOKUP(N52,Win_Open_more_1.5,CQ52+2,1)),"")</f>
        <v/>
      </c>
      <c r="CS52" s="2">
        <f t="shared" ref="CS52:CS83" si="154">IF(CR52=0,0,IF(CR52="",N52,CR52))</f>
        <v>0</v>
      </c>
      <c r="CT52" s="191">
        <f t="shared" ref="CT52:CT83" si="155">CS52*U52</f>
        <v>0</v>
      </c>
      <c r="CU52" s="2" t="str">
        <f t="shared" ref="CU52:CU83" si="156">IF(CT52&gt;0.9*U52,"error","OK")</f>
        <v>OK</v>
      </c>
      <c r="CV52" s="232">
        <f t="shared" ref="CV52:CV83" si="157">IF(N52="",0.05,IF($CU$17&lt;=0.05,0.05,IFERROR(CT52/U52,"")))</f>
        <v>0.05</v>
      </c>
      <c r="CW52" s="191" t="e">
        <f t="shared" ref="CW52:CW83" si="158">IF(Slab_or_Timb="Slab",IF(J52&lt;&gt;"Other",HLOOKUP($CV$13,S_Slab_Fact,2),1),IF(J52&lt;&gt;"Other",HLOOKUP($CV$13,S_Timb_Fact,2),1))</f>
        <v>#DIV/0!</v>
      </c>
      <c r="CX52" s="191" t="e">
        <f t="shared" ref="CX52:CX83" si="159">IF(Slab_or_Timb="Slab",IF($M52="Dark",HLOOKUP($CV$13,S_Slab_Fact,4),1),IF($M52="Dark",HLOOKUP($CV$13,S_Timb_Fact,4),1))</f>
        <v>#DIV/0!</v>
      </c>
      <c r="CY52" s="191" t="e">
        <f t="shared" ref="CY52:CY83" si="160">IF(Slab_or_Timb="Slab",IF($M52="Medium",HLOOKUP($CV$13,S_Slab_Fact,5),1),IF($M52="Medium",HLOOKUP($CV$13,S_Timb_Fact,5),1))</f>
        <v>#DIV/0!</v>
      </c>
      <c r="CZ52" s="191" t="e">
        <f t="shared" ref="CZ52:CZ83" si="161">IF(Slab_or_Timb="Slab",IF($M52="Light",HLOOKUP($CV$13,S_Slab_Fact,6),1),IF($M52="Light",HLOOKUP($CV$13,S_Timb_Fact,6),1))</f>
        <v>#DIV/0!</v>
      </c>
      <c r="DA52" s="191">
        <f t="shared" ref="DA52:DA83" si="162">IFERROR(IF(Slab_or_Timb="Slab",IF($DC52="Hard",HLOOKUP($CV$13,S_Slab_Fact,7),1),1),1)</f>
        <v>1</v>
      </c>
      <c r="DB52" s="191">
        <f t="shared" ref="DB52:DB83" si="163">IF(U52=0,0,CW52*CX52*CY52*CZ52*DA52)</f>
        <v>0</v>
      </c>
      <c r="DC52" s="2" t="str">
        <f t="shared" ref="DC52:DC83" si="164">IF(AND(K52="Ground: Direct",J52&lt;&gt;"Utility"),VLOOKUP(L52,Hard_Floor,2),"Soft")</f>
        <v>Soft</v>
      </c>
      <c r="DD52" s="2"/>
      <c r="DE52" s="2">
        <f t="shared" ref="DE52:DE83" si="165">IFERROR(VLOOKUP(F52,Orient_Num,2),0)</f>
        <v>0</v>
      </c>
      <c r="DF52" s="191" t="e">
        <f t="shared" ref="DF52:DF83" si="166">IF(Slab_or_Timb="Slab",IFERROR(HLOOKUP(DE52,OC_Fact_Slab,Zone_Col+1),0),IFERROR(HLOOKUP(DE52,OC_Fact_Timb,Zone_Col+1),0))</f>
        <v>#DIV/0!</v>
      </c>
      <c r="DG52" s="191" t="e">
        <f t="shared" ref="DG52:DG83" si="167">IF(Slab_or_Timb="Slab",IF(J52&lt;&gt;"Other",HLOOKUP($CV$13,W_Slab_Fact,4),1),IF(J52&lt;&gt;"Other",HLOOKUP($CV$13,W_Timb_Fact,4),1))</f>
        <v>#DIV/0!</v>
      </c>
      <c r="DH52" s="191" t="e">
        <f t="shared" ref="DH52:DH83" si="168">IF(Slab_or_Timb="Slab",IF(J52&lt;&gt;"Other",HLOOKUP($CV$13,W_Slab_Fact,2),1),IF(J52&lt;&gt;"Other",HLOOKUP($CV$13,W_Timb_Fact,2),1))</f>
        <v>#DIV/0!</v>
      </c>
      <c r="DI52" s="191" t="e">
        <f t="shared" ref="DI52:DI83" si="169">IF(Slab_or_Timb="Slab",IF(K52="Upper",HLOOKUP($CV$13,W_Slab_Fact,3),1),IF(K52="Upper",HLOOKUP($CV$13,W_Timb_Fact,3),1))</f>
        <v>#DIV/0!</v>
      </c>
      <c r="DJ52" s="191" t="e">
        <f t="shared" si="105"/>
        <v>#DIV/0!</v>
      </c>
      <c r="DK52" s="2"/>
      <c r="DL52" s="2"/>
      <c r="DM52" s="2"/>
      <c r="DN52" s="2">
        <f t="shared" ref="DN52:DN83" si="170">IFERROR(IF(Slab_or_Timb="Slab",IF($DC52="Hard",HLOOKUP($CV$13,W_Slab_Fact,9),1),1),1)</f>
        <v>1</v>
      </c>
      <c r="DO52" s="191" t="e">
        <f t="shared" ref="DO52:DO83" si="171">IF(Slab_or_Timb="Slab",IF($M52="Dark",HLOOKUP($CV$13,W_Slab_Fact,6),1),IF($M52="Dark",HLOOKUP($CV$13,W_Timb_Fact,6),1))</f>
        <v>#DIV/0!</v>
      </c>
      <c r="DP52" s="191" t="e">
        <f t="shared" ref="DP52:DP83" si="172">IF(Slab_or_Timb="Slab",IF($M52="Medium",HLOOKUP($CV$13,W_Slab_Fact,7),1),IF($M52="Medium",HLOOKUP($CV$13,W_Timb_Fact,7),1))</f>
        <v>#DIV/0!</v>
      </c>
      <c r="DQ52" s="191" t="e">
        <f t="shared" ref="DQ52:DQ83" si="173">IF(Slab_or_Timb="Slab",IF($M52="Light",HLOOKUP($CV$13,W_Slab_Fact,8),1),IF($M52="Light",HLOOKUP($CV$13,W_Timb_Fact,8),1))</f>
        <v>#DIV/0!</v>
      </c>
      <c r="DR52" s="191" t="e">
        <f t="shared" ref="DR52:DR83" si="174">IF(Slab_or_Timb="Slab",IF(J52&lt;&gt;"Other",HLOOKUP($CV$13,W_Slab_Fact,5),1),IF(J52&lt;&gt;"Other",HLOOKUP($CV$13,W_Timb_Fact,5),1))</f>
        <v>#DIV/0!</v>
      </c>
      <c r="DS52" s="191" t="e">
        <f t="shared" ref="DS52:DS83" si="175">IF(Slab_or_Timb="Slab",IF(J52&lt;&gt;"Other",HLOOKUP($CV$13,W_Slab_Fact,2),1),IF(J52&lt;&gt;"Other",HLOOKUP($CV$13,W_Timb_Fact,2),1))</f>
        <v>#DIV/0!</v>
      </c>
      <c r="DT52" s="191" t="e">
        <f t="shared" ref="DT52:DT83" si="176">IF(Slab_or_Timb="Slab",IF(K52="Upper",HLOOKUP($CV$13,W_Slab_Fact,3),1),IF(K52="Upper",HLOOKUP($CV$13,W_Timb_Fact,3),1))</f>
        <v>#DIV/0!</v>
      </c>
      <c r="DU52" s="191">
        <f t="shared" ref="DU52:DU83" si="177">IF(U52=0,0,DN52*DO52*DP52*DQ52*DR52*DS52*DT52)</f>
        <v>0</v>
      </c>
      <c r="DV52" s="2"/>
      <c r="DW52" s="2" t="b">
        <f t="shared" ref="DW52:DW83" si="178">ISBLANK(J52)</f>
        <v>1</v>
      </c>
      <c r="DX52" s="2" t="b">
        <f t="shared" ref="DX52:DX83" si="179">ISBLANK(K52)</f>
        <v>1</v>
      </c>
      <c r="DY52" s="2" t="b">
        <f t="shared" ref="DY52:DY83" si="180">ISBLANK(L52)</f>
        <v>1</v>
      </c>
      <c r="DZ52" s="2" t="b">
        <f t="shared" ref="DZ52:DZ83" si="181">ISBLANK(M52)</f>
        <v>1</v>
      </c>
      <c r="EA52" s="2" t="b">
        <f t="shared" ref="EA52:EA83" si="182">ISBLANK(N52)</f>
        <v>1</v>
      </c>
      <c r="EB52"/>
    </row>
    <row r="53" spans="1:132" s="108" customFormat="1" ht="18.5" hidden="1" thickBot="1" x14ac:dyDescent="0.45">
      <c r="A53" s="109"/>
      <c r="B53" s="88" t="str">
        <f t="shared" si="80"/>
        <v>-</v>
      </c>
      <c r="C53" s="118">
        <v>34</v>
      </c>
      <c r="D53" s="794"/>
      <c r="E53" s="795"/>
      <c r="F53" s="566"/>
      <c r="G53" s="567"/>
      <c r="H53" s="568"/>
      <c r="I53" s="558"/>
      <c r="J53" s="559"/>
      <c r="K53" s="560"/>
      <c r="L53" s="560"/>
      <c r="M53" s="560"/>
      <c r="N53" s="561"/>
      <c r="O53" s="562"/>
      <c r="P53" s="563"/>
      <c r="Q53" s="564"/>
      <c r="R53" s="565"/>
      <c r="S53" s="112" t="str">
        <f t="shared" si="110"/>
        <v/>
      </c>
      <c r="T53" s="113" t="str">
        <f t="shared" si="111"/>
        <v/>
      </c>
      <c r="U53" s="114">
        <f t="shared" si="112"/>
        <v>0</v>
      </c>
      <c r="V53" s="117" t="str">
        <f t="shared" si="113"/>
        <v/>
      </c>
      <c r="W53" s="234" t="str">
        <f t="shared" si="114"/>
        <v/>
      </c>
      <c r="X53" s="115">
        <f t="shared" si="7"/>
        <v>0</v>
      </c>
      <c r="Y53" s="116" t="str">
        <f t="shared" si="115"/>
        <v/>
      </c>
      <c r="Z53" s="111"/>
      <c r="AA53" s="2"/>
      <c r="AB53" s="2">
        <v>34</v>
      </c>
      <c r="AC53" s="22" t="str">
        <f t="shared" si="9"/>
        <v>-</v>
      </c>
      <c r="AD53" s="22">
        <f t="shared" si="81"/>
        <v>0</v>
      </c>
      <c r="AE53" s="22">
        <f t="shared" si="82"/>
        <v>0</v>
      </c>
      <c r="AF53" s="22"/>
      <c r="AG53" s="21">
        <f t="shared" si="83"/>
        <v>0</v>
      </c>
      <c r="AH53" s="6">
        <f t="shared" si="116"/>
        <v>0</v>
      </c>
      <c r="AI53" s="7">
        <f>IF(SUM(AH53:AH$99)=0,0,F53&gt;0)</f>
        <v>0</v>
      </c>
      <c r="AJ53" s="6">
        <f t="shared" si="117"/>
        <v>0</v>
      </c>
      <c r="AK53" s="7">
        <f>IF(SUM(AH53:AH$99)=0,0,AND(AI53=FALSE,AJ53=0,SUM(AJ53:AJ$99)&gt;0))</f>
        <v>0</v>
      </c>
      <c r="AL53" s="7">
        <f t="shared" si="84"/>
        <v>0</v>
      </c>
      <c r="AM53" s="7">
        <f t="shared" si="118"/>
        <v>0</v>
      </c>
      <c r="AN53" s="9">
        <f t="shared" si="119"/>
        <v>0</v>
      </c>
      <c r="AO53" s="9">
        <f t="shared" si="120"/>
        <v>0</v>
      </c>
      <c r="AP53" s="486">
        <f t="shared" si="121"/>
        <v>0</v>
      </c>
      <c r="AQ53" s="486">
        <f t="shared" si="85"/>
        <v>0</v>
      </c>
      <c r="AR53" s="7">
        <f t="shared" si="122"/>
        <v>0</v>
      </c>
      <c r="AS53" s="7" t="str">
        <f t="shared" si="86"/>
        <v/>
      </c>
      <c r="AT53" s="7">
        <f t="shared" si="123"/>
        <v>0</v>
      </c>
      <c r="AU53" s="485">
        <f t="shared" si="87"/>
        <v>0</v>
      </c>
      <c r="AV53" s="7">
        <f t="shared" si="124"/>
        <v>0</v>
      </c>
      <c r="AW53" s="7">
        <f t="shared" si="125"/>
        <v>0</v>
      </c>
      <c r="AX53" s="7">
        <f t="shared" si="126"/>
        <v>0</v>
      </c>
      <c r="AY53" s="484">
        <f t="shared" si="88"/>
        <v>0</v>
      </c>
      <c r="AZ53" s="7">
        <f t="shared" si="127"/>
        <v>0</v>
      </c>
      <c r="BA53" s="483">
        <f t="shared" si="89"/>
        <v>0</v>
      </c>
      <c r="BB53" s="487" t="str">
        <f t="shared" si="90"/>
        <v/>
      </c>
      <c r="BC53" s="487" t="str">
        <f t="shared" si="91"/>
        <v/>
      </c>
      <c r="BD53" s="7">
        <f t="shared" si="128"/>
        <v>0</v>
      </c>
      <c r="BE53" s="7">
        <f t="shared" si="129"/>
        <v>0</v>
      </c>
      <c r="BF53" s="7">
        <f t="shared" si="130"/>
        <v>0</v>
      </c>
      <c r="BG53" s="8" t="b">
        <f t="shared" si="131"/>
        <v>0</v>
      </c>
      <c r="BH53" s="235" t="str">
        <f t="shared" si="132"/>
        <v/>
      </c>
      <c r="BI53" s="75">
        <f t="shared" si="133"/>
        <v>0</v>
      </c>
      <c r="BJ53" s="15">
        <f t="shared" si="134"/>
        <v>0</v>
      </c>
      <c r="BK53" s="15">
        <f t="shared" si="92"/>
        <v>0</v>
      </c>
      <c r="BL53" s="18">
        <f t="shared" si="135"/>
        <v>0</v>
      </c>
      <c r="BM53" s="78">
        <f t="shared" si="136"/>
        <v>0</v>
      </c>
      <c r="BN53" s="14">
        <f t="shared" si="137"/>
        <v>0</v>
      </c>
      <c r="BO53" s="14">
        <f t="shared" si="138"/>
        <v>0</v>
      </c>
      <c r="BP53" s="15">
        <f t="shared" si="93"/>
        <v>0</v>
      </c>
      <c r="BQ53" s="73">
        <f t="shared" si="139"/>
        <v>0</v>
      </c>
      <c r="BR53" s="13"/>
      <c r="BS53" s="75">
        <f t="shared" si="106"/>
        <v>0</v>
      </c>
      <c r="BT53" s="15">
        <f t="shared" si="107"/>
        <v>0</v>
      </c>
      <c r="BU53" s="15">
        <f t="shared" si="108"/>
        <v>0</v>
      </c>
      <c r="BV53" s="17">
        <f t="shared" si="109"/>
        <v>0</v>
      </c>
      <c r="BW53" s="72">
        <f t="shared" si="140"/>
        <v>0</v>
      </c>
      <c r="BX53" s="14">
        <f t="shared" si="141"/>
        <v>0</v>
      </c>
      <c r="BY53" s="15">
        <f t="shared" si="97"/>
        <v>0</v>
      </c>
      <c r="BZ53" s="14">
        <f t="shared" si="98"/>
        <v>0</v>
      </c>
      <c r="CA53" s="73">
        <f t="shared" si="142"/>
        <v>0</v>
      </c>
      <c r="CB53" s="192" t="e">
        <f t="shared" si="143"/>
        <v>#DIV/0!</v>
      </c>
      <c r="CC53" s="72" t="e">
        <f t="shared" si="144"/>
        <v>#DIV/0!</v>
      </c>
      <c r="CD53" s="14">
        <f t="shared" si="145"/>
        <v>0</v>
      </c>
      <c r="CE53" s="19">
        <f t="shared" ref="CE53:CE84" si="183">IF(AY53&lt;&gt;TRUE,0,CC53/CC$17)</f>
        <v>0</v>
      </c>
      <c r="CF53" s="19">
        <f t="shared" si="146"/>
        <v>0</v>
      </c>
      <c r="CG53" s="20" t="e">
        <f t="shared" si="147"/>
        <v>#DIV/0!</v>
      </c>
      <c r="CH53" s="20" t="e">
        <f t="shared" si="148"/>
        <v>#DIV/0!</v>
      </c>
      <c r="CI53" s="83" t="e">
        <f t="shared" si="100"/>
        <v>#DIV/0!</v>
      </c>
      <c r="CJ53" s="77" t="e">
        <f t="shared" si="149"/>
        <v>#DIV/0!</v>
      </c>
      <c r="CK53" s="2" t="e">
        <f t="shared" si="101"/>
        <v>#DIV/0!</v>
      </c>
      <c r="CL53" s="2" t="str">
        <f t="shared" si="150"/>
        <v/>
      </c>
      <c r="CM53" s="231" t="e">
        <f t="shared" si="102"/>
        <v>#DIV/0!</v>
      </c>
      <c r="CN53" s="233" t="e">
        <f t="shared" si="103"/>
        <v>#DIV/0!</v>
      </c>
      <c r="CO53" s="233">
        <f t="shared" si="104"/>
        <v>0</v>
      </c>
      <c r="CP53" s="2">
        <f t="shared" si="151"/>
        <v>1</v>
      </c>
      <c r="CQ53" s="2">
        <f t="shared" si="152"/>
        <v>1</v>
      </c>
      <c r="CR53" s="2" t="str">
        <f t="shared" si="153"/>
        <v/>
      </c>
      <c r="CS53" s="2">
        <f t="shared" si="154"/>
        <v>0</v>
      </c>
      <c r="CT53" s="191">
        <f t="shared" si="155"/>
        <v>0</v>
      </c>
      <c r="CU53" s="2" t="str">
        <f t="shared" si="156"/>
        <v>OK</v>
      </c>
      <c r="CV53" s="232">
        <f t="shared" si="157"/>
        <v>0.05</v>
      </c>
      <c r="CW53" s="191" t="e">
        <f t="shared" si="158"/>
        <v>#DIV/0!</v>
      </c>
      <c r="CX53" s="191" t="e">
        <f t="shared" si="159"/>
        <v>#DIV/0!</v>
      </c>
      <c r="CY53" s="191" t="e">
        <f t="shared" si="160"/>
        <v>#DIV/0!</v>
      </c>
      <c r="CZ53" s="191" t="e">
        <f t="shared" si="161"/>
        <v>#DIV/0!</v>
      </c>
      <c r="DA53" s="191">
        <f t="shared" si="162"/>
        <v>1</v>
      </c>
      <c r="DB53" s="191">
        <f t="shared" si="163"/>
        <v>0</v>
      </c>
      <c r="DC53" s="2" t="str">
        <f t="shared" si="164"/>
        <v>Soft</v>
      </c>
      <c r="DD53" s="2"/>
      <c r="DE53" s="2">
        <f t="shared" si="165"/>
        <v>0</v>
      </c>
      <c r="DF53" s="191" t="e">
        <f t="shared" si="166"/>
        <v>#DIV/0!</v>
      </c>
      <c r="DG53" s="191" t="e">
        <f t="shared" si="167"/>
        <v>#DIV/0!</v>
      </c>
      <c r="DH53" s="191" t="e">
        <f t="shared" si="168"/>
        <v>#DIV/0!</v>
      </c>
      <c r="DI53" s="191" t="e">
        <f t="shared" si="169"/>
        <v>#DIV/0!</v>
      </c>
      <c r="DJ53" s="191" t="e">
        <f t="shared" si="105"/>
        <v>#DIV/0!</v>
      </c>
      <c r="DK53" s="2"/>
      <c r="DL53" s="2"/>
      <c r="DM53" s="2"/>
      <c r="DN53" s="2">
        <f t="shared" si="170"/>
        <v>1</v>
      </c>
      <c r="DO53" s="191" t="e">
        <f t="shared" si="171"/>
        <v>#DIV/0!</v>
      </c>
      <c r="DP53" s="191" t="e">
        <f t="shared" si="172"/>
        <v>#DIV/0!</v>
      </c>
      <c r="DQ53" s="191" t="e">
        <f t="shared" si="173"/>
        <v>#DIV/0!</v>
      </c>
      <c r="DR53" s="191" t="e">
        <f t="shared" si="174"/>
        <v>#DIV/0!</v>
      </c>
      <c r="DS53" s="191" t="e">
        <f t="shared" si="175"/>
        <v>#DIV/0!</v>
      </c>
      <c r="DT53" s="191" t="e">
        <f t="shared" si="176"/>
        <v>#DIV/0!</v>
      </c>
      <c r="DU53" s="191">
        <f t="shared" si="177"/>
        <v>0</v>
      </c>
      <c r="DV53" s="2"/>
      <c r="DW53" s="2" t="b">
        <f t="shared" si="178"/>
        <v>1</v>
      </c>
      <c r="DX53" s="2" t="b">
        <f t="shared" si="179"/>
        <v>1</v>
      </c>
      <c r="DY53" s="2" t="b">
        <f t="shared" si="180"/>
        <v>1</v>
      </c>
      <c r="DZ53" s="2" t="b">
        <f t="shared" si="181"/>
        <v>1</v>
      </c>
      <c r="EA53" s="2" t="b">
        <f t="shared" si="182"/>
        <v>1</v>
      </c>
      <c r="EB53"/>
    </row>
    <row r="54" spans="1:132" s="108" customFormat="1" ht="18.5" hidden="1" thickBot="1" x14ac:dyDescent="0.45">
      <c r="A54" s="109"/>
      <c r="B54" s="88" t="str">
        <f t="shared" si="80"/>
        <v>-</v>
      </c>
      <c r="C54" s="118">
        <v>35</v>
      </c>
      <c r="D54" s="794"/>
      <c r="E54" s="795"/>
      <c r="F54" s="566"/>
      <c r="G54" s="567"/>
      <c r="H54" s="568"/>
      <c r="I54" s="558"/>
      <c r="J54" s="559"/>
      <c r="K54" s="560"/>
      <c r="L54" s="560"/>
      <c r="M54" s="560"/>
      <c r="N54" s="561"/>
      <c r="O54" s="562"/>
      <c r="P54" s="563"/>
      <c r="Q54" s="564"/>
      <c r="R54" s="565"/>
      <c r="S54" s="112" t="str">
        <f t="shared" si="110"/>
        <v/>
      </c>
      <c r="T54" s="113" t="str">
        <f t="shared" si="111"/>
        <v/>
      </c>
      <c r="U54" s="114">
        <f t="shared" si="112"/>
        <v>0</v>
      </c>
      <c r="V54" s="117" t="str">
        <f t="shared" si="113"/>
        <v/>
      </c>
      <c r="W54" s="234" t="str">
        <f t="shared" si="114"/>
        <v/>
      </c>
      <c r="X54" s="115">
        <f t="shared" si="7"/>
        <v>0</v>
      </c>
      <c r="Y54" s="116" t="str">
        <f t="shared" si="115"/>
        <v/>
      </c>
      <c r="Z54" s="111"/>
      <c r="AA54" s="2"/>
      <c r="AB54" s="2">
        <v>35</v>
      </c>
      <c r="AC54" s="22" t="str">
        <f t="shared" si="9"/>
        <v>-</v>
      </c>
      <c r="AD54" s="22">
        <f t="shared" si="81"/>
        <v>0</v>
      </c>
      <c r="AE54" s="22">
        <f t="shared" si="82"/>
        <v>0</v>
      </c>
      <c r="AF54" s="22"/>
      <c r="AG54" s="21">
        <f t="shared" si="83"/>
        <v>0</v>
      </c>
      <c r="AH54" s="6">
        <f t="shared" si="116"/>
        <v>0</v>
      </c>
      <c r="AI54" s="7">
        <f>IF(SUM(AH54:AH$99)=0,0,F54&gt;0)</f>
        <v>0</v>
      </c>
      <c r="AJ54" s="6">
        <f t="shared" si="117"/>
        <v>0</v>
      </c>
      <c r="AK54" s="7">
        <f>IF(SUM(AH54:AH$99)=0,0,AND(AI54=FALSE,AJ54=0,SUM(AJ54:AJ$99)&gt;0))</f>
        <v>0</v>
      </c>
      <c r="AL54" s="7">
        <f t="shared" si="84"/>
        <v>0</v>
      </c>
      <c r="AM54" s="7">
        <f t="shared" si="118"/>
        <v>0</v>
      </c>
      <c r="AN54" s="9">
        <f t="shared" si="119"/>
        <v>0</v>
      </c>
      <c r="AO54" s="9">
        <f t="shared" si="120"/>
        <v>0</v>
      </c>
      <c r="AP54" s="486">
        <f t="shared" si="121"/>
        <v>0</v>
      </c>
      <c r="AQ54" s="486">
        <f t="shared" si="85"/>
        <v>0</v>
      </c>
      <c r="AR54" s="7">
        <f t="shared" si="122"/>
        <v>0</v>
      </c>
      <c r="AS54" s="7" t="str">
        <f t="shared" si="86"/>
        <v/>
      </c>
      <c r="AT54" s="7">
        <f t="shared" si="123"/>
        <v>0</v>
      </c>
      <c r="AU54" s="485">
        <f t="shared" si="87"/>
        <v>0</v>
      </c>
      <c r="AV54" s="7">
        <f t="shared" si="124"/>
        <v>0</v>
      </c>
      <c r="AW54" s="7">
        <f t="shared" si="125"/>
        <v>0</v>
      </c>
      <c r="AX54" s="7">
        <f t="shared" si="126"/>
        <v>0</v>
      </c>
      <c r="AY54" s="484">
        <f t="shared" si="88"/>
        <v>0</v>
      </c>
      <c r="AZ54" s="7">
        <f t="shared" si="127"/>
        <v>0</v>
      </c>
      <c r="BA54" s="483">
        <f t="shared" si="89"/>
        <v>0</v>
      </c>
      <c r="BB54" s="487" t="str">
        <f t="shared" si="90"/>
        <v/>
      </c>
      <c r="BC54" s="487" t="str">
        <f t="shared" si="91"/>
        <v/>
      </c>
      <c r="BD54" s="7">
        <f t="shared" si="128"/>
        <v>0</v>
      </c>
      <c r="BE54" s="7">
        <f t="shared" si="129"/>
        <v>0</v>
      </c>
      <c r="BF54" s="7">
        <f t="shared" si="130"/>
        <v>0</v>
      </c>
      <c r="BG54" s="8" t="b">
        <f t="shared" si="131"/>
        <v>0</v>
      </c>
      <c r="BH54" s="235" t="str">
        <f t="shared" si="132"/>
        <v/>
      </c>
      <c r="BI54" s="75">
        <f t="shared" si="133"/>
        <v>0</v>
      </c>
      <c r="BJ54" s="15">
        <f t="shared" si="134"/>
        <v>0</v>
      </c>
      <c r="BK54" s="15">
        <f t="shared" si="92"/>
        <v>0</v>
      </c>
      <c r="BL54" s="18">
        <f t="shared" si="135"/>
        <v>0</v>
      </c>
      <c r="BM54" s="78">
        <f t="shared" si="136"/>
        <v>0</v>
      </c>
      <c r="BN54" s="14">
        <f t="shared" si="137"/>
        <v>0</v>
      </c>
      <c r="BO54" s="14">
        <f t="shared" si="138"/>
        <v>0</v>
      </c>
      <c r="BP54" s="15">
        <f t="shared" si="93"/>
        <v>0</v>
      </c>
      <c r="BQ54" s="73">
        <f t="shared" si="139"/>
        <v>0</v>
      </c>
      <c r="BR54" s="13"/>
      <c r="BS54" s="75">
        <f t="shared" si="106"/>
        <v>0</v>
      </c>
      <c r="BT54" s="15">
        <f t="shared" si="107"/>
        <v>0</v>
      </c>
      <c r="BU54" s="15">
        <f t="shared" si="108"/>
        <v>0</v>
      </c>
      <c r="BV54" s="17">
        <f t="shared" si="109"/>
        <v>0</v>
      </c>
      <c r="BW54" s="72">
        <f t="shared" si="140"/>
        <v>0</v>
      </c>
      <c r="BX54" s="14">
        <f t="shared" si="141"/>
        <v>0</v>
      </c>
      <c r="BY54" s="15">
        <f t="shared" si="97"/>
        <v>0</v>
      </c>
      <c r="BZ54" s="14">
        <f t="shared" si="98"/>
        <v>0</v>
      </c>
      <c r="CA54" s="73">
        <f t="shared" si="142"/>
        <v>0</v>
      </c>
      <c r="CB54" s="192" t="e">
        <f t="shared" si="143"/>
        <v>#DIV/0!</v>
      </c>
      <c r="CC54" s="72" t="e">
        <f t="shared" si="144"/>
        <v>#DIV/0!</v>
      </c>
      <c r="CD54" s="14">
        <f t="shared" si="145"/>
        <v>0</v>
      </c>
      <c r="CE54" s="19">
        <f t="shared" si="183"/>
        <v>0</v>
      </c>
      <c r="CF54" s="19">
        <f t="shared" si="146"/>
        <v>0</v>
      </c>
      <c r="CG54" s="20" t="e">
        <f t="shared" si="147"/>
        <v>#DIV/0!</v>
      </c>
      <c r="CH54" s="20" t="e">
        <f t="shared" si="148"/>
        <v>#DIV/0!</v>
      </c>
      <c r="CI54" s="83" t="e">
        <f t="shared" si="100"/>
        <v>#DIV/0!</v>
      </c>
      <c r="CJ54" s="77" t="e">
        <f t="shared" si="149"/>
        <v>#DIV/0!</v>
      </c>
      <c r="CK54" s="2" t="e">
        <f t="shared" si="101"/>
        <v>#DIV/0!</v>
      </c>
      <c r="CL54" s="2" t="str">
        <f t="shared" si="150"/>
        <v/>
      </c>
      <c r="CM54" s="231" t="e">
        <f t="shared" si="102"/>
        <v>#DIV/0!</v>
      </c>
      <c r="CN54" s="233" t="e">
        <f t="shared" si="103"/>
        <v>#DIV/0!</v>
      </c>
      <c r="CO54" s="233">
        <f t="shared" si="104"/>
        <v>0</v>
      </c>
      <c r="CP54" s="2">
        <f t="shared" si="151"/>
        <v>1</v>
      </c>
      <c r="CQ54" s="2">
        <f t="shared" si="152"/>
        <v>1</v>
      </c>
      <c r="CR54" s="2" t="str">
        <f t="shared" si="153"/>
        <v/>
      </c>
      <c r="CS54" s="2">
        <f t="shared" si="154"/>
        <v>0</v>
      </c>
      <c r="CT54" s="191">
        <f t="shared" si="155"/>
        <v>0</v>
      </c>
      <c r="CU54" s="2" t="str">
        <f t="shared" si="156"/>
        <v>OK</v>
      </c>
      <c r="CV54" s="232">
        <f t="shared" si="157"/>
        <v>0.05</v>
      </c>
      <c r="CW54" s="191" t="e">
        <f t="shared" si="158"/>
        <v>#DIV/0!</v>
      </c>
      <c r="CX54" s="191" t="e">
        <f t="shared" si="159"/>
        <v>#DIV/0!</v>
      </c>
      <c r="CY54" s="191" t="e">
        <f t="shared" si="160"/>
        <v>#DIV/0!</v>
      </c>
      <c r="CZ54" s="191" t="e">
        <f t="shared" si="161"/>
        <v>#DIV/0!</v>
      </c>
      <c r="DA54" s="191">
        <f t="shared" si="162"/>
        <v>1</v>
      </c>
      <c r="DB54" s="191">
        <f t="shared" si="163"/>
        <v>0</v>
      </c>
      <c r="DC54" s="2" t="str">
        <f t="shared" si="164"/>
        <v>Soft</v>
      </c>
      <c r="DD54" s="2"/>
      <c r="DE54" s="2">
        <f t="shared" si="165"/>
        <v>0</v>
      </c>
      <c r="DF54" s="191" t="e">
        <f t="shared" si="166"/>
        <v>#DIV/0!</v>
      </c>
      <c r="DG54" s="191" t="e">
        <f t="shared" si="167"/>
        <v>#DIV/0!</v>
      </c>
      <c r="DH54" s="191" t="e">
        <f t="shared" si="168"/>
        <v>#DIV/0!</v>
      </c>
      <c r="DI54" s="191" t="e">
        <f t="shared" si="169"/>
        <v>#DIV/0!</v>
      </c>
      <c r="DJ54" s="191" t="e">
        <f t="shared" si="105"/>
        <v>#DIV/0!</v>
      </c>
      <c r="DK54" s="2"/>
      <c r="DL54" s="2"/>
      <c r="DM54" s="2"/>
      <c r="DN54" s="2">
        <f t="shared" si="170"/>
        <v>1</v>
      </c>
      <c r="DO54" s="191" t="e">
        <f t="shared" si="171"/>
        <v>#DIV/0!</v>
      </c>
      <c r="DP54" s="191" t="e">
        <f t="shared" si="172"/>
        <v>#DIV/0!</v>
      </c>
      <c r="DQ54" s="191" t="e">
        <f t="shared" si="173"/>
        <v>#DIV/0!</v>
      </c>
      <c r="DR54" s="191" t="e">
        <f t="shared" si="174"/>
        <v>#DIV/0!</v>
      </c>
      <c r="DS54" s="191" t="e">
        <f t="shared" si="175"/>
        <v>#DIV/0!</v>
      </c>
      <c r="DT54" s="191" t="e">
        <f t="shared" si="176"/>
        <v>#DIV/0!</v>
      </c>
      <c r="DU54" s="191">
        <f t="shared" si="177"/>
        <v>0</v>
      </c>
      <c r="DV54" s="2"/>
      <c r="DW54" s="2" t="b">
        <f t="shared" si="178"/>
        <v>1</v>
      </c>
      <c r="DX54" s="2" t="b">
        <f t="shared" si="179"/>
        <v>1</v>
      </c>
      <c r="DY54" s="2" t="b">
        <f t="shared" si="180"/>
        <v>1</v>
      </c>
      <c r="DZ54" s="2" t="b">
        <f t="shared" si="181"/>
        <v>1</v>
      </c>
      <c r="EA54" s="2" t="b">
        <f t="shared" si="182"/>
        <v>1</v>
      </c>
      <c r="EB54"/>
    </row>
    <row r="55" spans="1:132" s="108" customFormat="1" ht="18.5" hidden="1" thickBot="1" x14ac:dyDescent="0.45">
      <c r="A55" s="109"/>
      <c r="B55" s="88" t="str">
        <f t="shared" si="80"/>
        <v>-</v>
      </c>
      <c r="C55" s="118">
        <v>36</v>
      </c>
      <c r="D55" s="794"/>
      <c r="E55" s="795"/>
      <c r="F55" s="566"/>
      <c r="G55" s="567"/>
      <c r="H55" s="568"/>
      <c r="I55" s="558"/>
      <c r="J55" s="559"/>
      <c r="K55" s="560"/>
      <c r="L55" s="560"/>
      <c r="M55" s="560"/>
      <c r="N55" s="561"/>
      <c r="O55" s="562"/>
      <c r="P55" s="563"/>
      <c r="Q55" s="564"/>
      <c r="R55" s="565"/>
      <c r="S55" s="112" t="str">
        <f t="shared" si="110"/>
        <v/>
      </c>
      <c r="T55" s="113" t="str">
        <f t="shared" si="111"/>
        <v/>
      </c>
      <c r="U55" s="114">
        <f t="shared" si="112"/>
        <v>0</v>
      </c>
      <c r="V55" s="117" t="str">
        <f t="shared" si="113"/>
        <v/>
      </c>
      <c r="W55" s="234" t="str">
        <f t="shared" si="114"/>
        <v/>
      </c>
      <c r="X55" s="115">
        <f t="shared" si="7"/>
        <v>0</v>
      </c>
      <c r="Y55" s="116" t="str">
        <f t="shared" si="115"/>
        <v/>
      </c>
      <c r="Z55" s="111"/>
      <c r="AA55" s="2"/>
      <c r="AB55" s="2">
        <v>36</v>
      </c>
      <c r="AC55" s="22" t="str">
        <f t="shared" si="9"/>
        <v>-</v>
      </c>
      <c r="AD55" s="22">
        <f t="shared" si="81"/>
        <v>0</v>
      </c>
      <c r="AE55" s="22">
        <f t="shared" si="82"/>
        <v>0</v>
      </c>
      <c r="AF55" s="22"/>
      <c r="AG55" s="21">
        <f t="shared" si="83"/>
        <v>0</v>
      </c>
      <c r="AH55" s="6">
        <f t="shared" si="116"/>
        <v>0</v>
      </c>
      <c r="AI55" s="7">
        <f>IF(SUM(AH55:AH$99)=0,0,F55&gt;0)</f>
        <v>0</v>
      </c>
      <c r="AJ55" s="6">
        <f t="shared" si="117"/>
        <v>0</v>
      </c>
      <c r="AK55" s="7">
        <f>IF(SUM(AH55:AH$99)=0,0,AND(AI55=FALSE,AJ55=0,SUM(AJ55:AJ$99)&gt;0))</f>
        <v>0</v>
      </c>
      <c r="AL55" s="7">
        <f t="shared" si="84"/>
        <v>0</v>
      </c>
      <c r="AM55" s="7">
        <f t="shared" si="118"/>
        <v>0</v>
      </c>
      <c r="AN55" s="9">
        <f t="shared" si="119"/>
        <v>0</v>
      </c>
      <c r="AO55" s="9">
        <f t="shared" si="120"/>
        <v>0</v>
      </c>
      <c r="AP55" s="486">
        <f t="shared" si="121"/>
        <v>0</v>
      </c>
      <c r="AQ55" s="486">
        <f t="shared" si="85"/>
        <v>0</v>
      </c>
      <c r="AR55" s="7">
        <f t="shared" si="122"/>
        <v>0</v>
      </c>
      <c r="AS55" s="7" t="str">
        <f t="shared" si="86"/>
        <v/>
      </c>
      <c r="AT55" s="7">
        <f t="shared" si="123"/>
        <v>0</v>
      </c>
      <c r="AU55" s="485">
        <f t="shared" si="87"/>
        <v>0</v>
      </c>
      <c r="AV55" s="7">
        <f t="shared" si="124"/>
        <v>0</v>
      </c>
      <c r="AW55" s="7">
        <f t="shared" si="125"/>
        <v>0</v>
      </c>
      <c r="AX55" s="7">
        <f t="shared" si="126"/>
        <v>0</v>
      </c>
      <c r="AY55" s="484">
        <f t="shared" si="88"/>
        <v>0</v>
      </c>
      <c r="AZ55" s="7">
        <f t="shared" si="127"/>
        <v>0</v>
      </c>
      <c r="BA55" s="483">
        <f t="shared" si="89"/>
        <v>0</v>
      </c>
      <c r="BB55" s="487" t="str">
        <f t="shared" si="90"/>
        <v/>
      </c>
      <c r="BC55" s="487" t="str">
        <f t="shared" si="91"/>
        <v/>
      </c>
      <c r="BD55" s="7">
        <f t="shared" si="128"/>
        <v>0</v>
      </c>
      <c r="BE55" s="7">
        <f t="shared" si="129"/>
        <v>0</v>
      </c>
      <c r="BF55" s="7">
        <f t="shared" si="130"/>
        <v>0</v>
      </c>
      <c r="BG55" s="8" t="b">
        <f t="shared" si="131"/>
        <v>0</v>
      </c>
      <c r="BH55" s="235" t="str">
        <f t="shared" si="132"/>
        <v/>
      </c>
      <c r="BI55" s="75">
        <f t="shared" si="133"/>
        <v>0</v>
      </c>
      <c r="BJ55" s="15">
        <f t="shared" si="134"/>
        <v>0</v>
      </c>
      <c r="BK55" s="15">
        <f t="shared" si="92"/>
        <v>0</v>
      </c>
      <c r="BL55" s="18">
        <f t="shared" si="135"/>
        <v>0</v>
      </c>
      <c r="BM55" s="78">
        <f t="shared" si="136"/>
        <v>0</v>
      </c>
      <c r="BN55" s="14">
        <f t="shared" si="137"/>
        <v>0</v>
      </c>
      <c r="BO55" s="14">
        <f t="shared" si="138"/>
        <v>0</v>
      </c>
      <c r="BP55" s="15">
        <f t="shared" si="93"/>
        <v>0</v>
      </c>
      <c r="BQ55" s="73">
        <f t="shared" si="139"/>
        <v>0</v>
      </c>
      <c r="BR55" s="13"/>
      <c r="BS55" s="75">
        <f t="shared" si="106"/>
        <v>0</v>
      </c>
      <c r="BT55" s="15">
        <f t="shared" si="107"/>
        <v>0</v>
      </c>
      <c r="BU55" s="15">
        <f t="shared" si="108"/>
        <v>0</v>
      </c>
      <c r="BV55" s="17">
        <f t="shared" si="109"/>
        <v>0</v>
      </c>
      <c r="BW55" s="72">
        <f t="shared" si="140"/>
        <v>0</v>
      </c>
      <c r="BX55" s="14">
        <f t="shared" si="141"/>
        <v>0</v>
      </c>
      <c r="BY55" s="15">
        <f t="shared" si="97"/>
        <v>0</v>
      </c>
      <c r="BZ55" s="14">
        <f t="shared" si="98"/>
        <v>0</v>
      </c>
      <c r="CA55" s="73">
        <f t="shared" si="142"/>
        <v>0</v>
      </c>
      <c r="CB55" s="192" t="e">
        <f t="shared" si="143"/>
        <v>#DIV/0!</v>
      </c>
      <c r="CC55" s="72" t="e">
        <f t="shared" si="144"/>
        <v>#DIV/0!</v>
      </c>
      <c r="CD55" s="14">
        <f t="shared" si="145"/>
        <v>0</v>
      </c>
      <c r="CE55" s="19">
        <f t="shared" si="183"/>
        <v>0</v>
      </c>
      <c r="CF55" s="19">
        <f t="shared" si="146"/>
        <v>0</v>
      </c>
      <c r="CG55" s="20" t="e">
        <f t="shared" si="147"/>
        <v>#DIV/0!</v>
      </c>
      <c r="CH55" s="20" t="e">
        <f t="shared" si="148"/>
        <v>#DIV/0!</v>
      </c>
      <c r="CI55" s="83" t="e">
        <f t="shared" si="100"/>
        <v>#DIV/0!</v>
      </c>
      <c r="CJ55" s="77" t="e">
        <f t="shared" si="149"/>
        <v>#DIV/0!</v>
      </c>
      <c r="CK55" s="2" t="e">
        <f t="shared" si="101"/>
        <v>#DIV/0!</v>
      </c>
      <c r="CL55" s="2" t="str">
        <f t="shared" si="150"/>
        <v/>
      </c>
      <c r="CM55" s="231" t="e">
        <f t="shared" si="102"/>
        <v>#DIV/0!</v>
      </c>
      <c r="CN55" s="233" t="e">
        <f t="shared" si="103"/>
        <v>#DIV/0!</v>
      </c>
      <c r="CO55" s="233">
        <f t="shared" si="104"/>
        <v>0</v>
      </c>
      <c r="CP55" s="2">
        <f t="shared" si="151"/>
        <v>1</v>
      </c>
      <c r="CQ55" s="2">
        <f t="shared" si="152"/>
        <v>1</v>
      </c>
      <c r="CR55" s="2" t="str">
        <f t="shared" si="153"/>
        <v/>
      </c>
      <c r="CS55" s="2">
        <f t="shared" si="154"/>
        <v>0</v>
      </c>
      <c r="CT55" s="191">
        <f t="shared" si="155"/>
        <v>0</v>
      </c>
      <c r="CU55" s="2" t="str">
        <f t="shared" si="156"/>
        <v>OK</v>
      </c>
      <c r="CV55" s="232">
        <f t="shared" si="157"/>
        <v>0.05</v>
      </c>
      <c r="CW55" s="191" t="e">
        <f t="shared" si="158"/>
        <v>#DIV/0!</v>
      </c>
      <c r="CX55" s="191" t="e">
        <f t="shared" si="159"/>
        <v>#DIV/0!</v>
      </c>
      <c r="CY55" s="191" t="e">
        <f t="shared" si="160"/>
        <v>#DIV/0!</v>
      </c>
      <c r="CZ55" s="191" t="e">
        <f t="shared" si="161"/>
        <v>#DIV/0!</v>
      </c>
      <c r="DA55" s="191">
        <f t="shared" si="162"/>
        <v>1</v>
      </c>
      <c r="DB55" s="191">
        <f t="shared" si="163"/>
        <v>0</v>
      </c>
      <c r="DC55" s="2" t="str">
        <f t="shared" si="164"/>
        <v>Soft</v>
      </c>
      <c r="DD55" s="2"/>
      <c r="DE55" s="2">
        <f t="shared" si="165"/>
        <v>0</v>
      </c>
      <c r="DF55" s="191" t="e">
        <f t="shared" si="166"/>
        <v>#DIV/0!</v>
      </c>
      <c r="DG55" s="191" t="e">
        <f t="shared" si="167"/>
        <v>#DIV/0!</v>
      </c>
      <c r="DH55" s="191" t="e">
        <f t="shared" si="168"/>
        <v>#DIV/0!</v>
      </c>
      <c r="DI55" s="191" t="e">
        <f t="shared" si="169"/>
        <v>#DIV/0!</v>
      </c>
      <c r="DJ55" s="191" t="e">
        <f t="shared" si="105"/>
        <v>#DIV/0!</v>
      </c>
      <c r="DK55" s="2"/>
      <c r="DL55" s="2"/>
      <c r="DM55" s="2"/>
      <c r="DN55" s="2">
        <f t="shared" si="170"/>
        <v>1</v>
      </c>
      <c r="DO55" s="191" t="e">
        <f t="shared" si="171"/>
        <v>#DIV/0!</v>
      </c>
      <c r="DP55" s="191" t="e">
        <f t="shared" si="172"/>
        <v>#DIV/0!</v>
      </c>
      <c r="DQ55" s="191" t="e">
        <f t="shared" si="173"/>
        <v>#DIV/0!</v>
      </c>
      <c r="DR55" s="191" t="e">
        <f t="shared" si="174"/>
        <v>#DIV/0!</v>
      </c>
      <c r="DS55" s="191" t="e">
        <f t="shared" si="175"/>
        <v>#DIV/0!</v>
      </c>
      <c r="DT55" s="191" t="e">
        <f t="shared" si="176"/>
        <v>#DIV/0!</v>
      </c>
      <c r="DU55" s="191">
        <f t="shared" si="177"/>
        <v>0</v>
      </c>
      <c r="DV55" s="2"/>
      <c r="DW55" s="2" t="b">
        <f t="shared" si="178"/>
        <v>1</v>
      </c>
      <c r="DX55" s="2" t="b">
        <f t="shared" si="179"/>
        <v>1</v>
      </c>
      <c r="DY55" s="2" t="b">
        <f t="shared" si="180"/>
        <v>1</v>
      </c>
      <c r="DZ55" s="2" t="b">
        <f t="shared" si="181"/>
        <v>1</v>
      </c>
      <c r="EA55" s="2" t="b">
        <f t="shared" si="182"/>
        <v>1</v>
      </c>
      <c r="EB55"/>
    </row>
    <row r="56" spans="1:132" s="108" customFormat="1" ht="18.5" hidden="1" thickBot="1" x14ac:dyDescent="0.45">
      <c r="A56" s="109"/>
      <c r="B56" s="88" t="str">
        <f t="shared" si="80"/>
        <v>-</v>
      </c>
      <c r="C56" s="118">
        <v>37</v>
      </c>
      <c r="D56" s="794"/>
      <c r="E56" s="795"/>
      <c r="F56" s="566"/>
      <c r="G56" s="567"/>
      <c r="H56" s="568"/>
      <c r="I56" s="558"/>
      <c r="J56" s="559"/>
      <c r="K56" s="560"/>
      <c r="L56" s="560"/>
      <c r="M56" s="560"/>
      <c r="N56" s="561"/>
      <c r="O56" s="562"/>
      <c r="P56" s="563"/>
      <c r="Q56" s="564"/>
      <c r="R56" s="565"/>
      <c r="S56" s="112" t="str">
        <f t="shared" si="110"/>
        <v/>
      </c>
      <c r="T56" s="113" t="str">
        <f t="shared" si="111"/>
        <v/>
      </c>
      <c r="U56" s="114">
        <f t="shared" si="112"/>
        <v>0</v>
      </c>
      <c r="V56" s="117" t="str">
        <f t="shared" si="113"/>
        <v/>
      </c>
      <c r="W56" s="234" t="str">
        <f t="shared" si="114"/>
        <v/>
      </c>
      <c r="X56" s="115">
        <f t="shared" si="7"/>
        <v>0</v>
      </c>
      <c r="Y56" s="116" t="str">
        <f t="shared" si="115"/>
        <v/>
      </c>
      <c r="Z56" s="111"/>
      <c r="AA56" s="2"/>
      <c r="AB56" s="2">
        <v>37</v>
      </c>
      <c r="AC56" s="22" t="str">
        <f t="shared" si="9"/>
        <v>-</v>
      </c>
      <c r="AD56" s="22">
        <f t="shared" si="81"/>
        <v>0</v>
      </c>
      <c r="AE56" s="22">
        <f t="shared" si="82"/>
        <v>0</v>
      </c>
      <c r="AF56" s="22"/>
      <c r="AG56" s="21">
        <f t="shared" si="83"/>
        <v>0</v>
      </c>
      <c r="AH56" s="6">
        <f t="shared" si="116"/>
        <v>0</v>
      </c>
      <c r="AI56" s="7">
        <f>IF(SUM(AH56:AH$99)=0,0,F56&gt;0)</f>
        <v>0</v>
      </c>
      <c r="AJ56" s="6">
        <f t="shared" si="117"/>
        <v>0</v>
      </c>
      <c r="AK56" s="7">
        <f>IF(SUM(AH56:AH$99)=0,0,AND(AI56=FALSE,AJ56=0,SUM(AJ56:AJ$99)&gt;0))</f>
        <v>0</v>
      </c>
      <c r="AL56" s="7">
        <f t="shared" si="84"/>
        <v>0</v>
      </c>
      <c r="AM56" s="7">
        <f t="shared" si="118"/>
        <v>0</v>
      </c>
      <c r="AN56" s="9">
        <f t="shared" si="119"/>
        <v>0</v>
      </c>
      <c r="AO56" s="9">
        <f t="shared" si="120"/>
        <v>0</v>
      </c>
      <c r="AP56" s="486">
        <f t="shared" si="121"/>
        <v>0</v>
      </c>
      <c r="AQ56" s="486">
        <f t="shared" si="85"/>
        <v>0</v>
      </c>
      <c r="AR56" s="7">
        <f t="shared" si="122"/>
        <v>0</v>
      </c>
      <c r="AS56" s="7" t="str">
        <f t="shared" si="86"/>
        <v/>
      </c>
      <c r="AT56" s="7">
        <f t="shared" si="123"/>
        <v>0</v>
      </c>
      <c r="AU56" s="485">
        <f t="shared" si="87"/>
        <v>0</v>
      </c>
      <c r="AV56" s="7">
        <f t="shared" si="124"/>
        <v>0</v>
      </c>
      <c r="AW56" s="7">
        <f t="shared" si="125"/>
        <v>0</v>
      </c>
      <c r="AX56" s="7">
        <f t="shared" si="126"/>
        <v>0</v>
      </c>
      <c r="AY56" s="484">
        <f t="shared" si="88"/>
        <v>0</v>
      </c>
      <c r="AZ56" s="7">
        <f t="shared" si="127"/>
        <v>0</v>
      </c>
      <c r="BA56" s="483">
        <f t="shared" si="89"/>
        <v>0</v>
      </c>
      <c r="BB56" s="487" t="str">
        <f t="shared" si="90"/>
        <v/>
      </c>
      <c r="BC56" s="487" t="str">
        <f t="shared" si="91"/>
        <v/>
      </c>
      <c r="BD56" s="7">
        <f t="shared" si="128"/>
        <v>0</v>
      </c>
      <c r="BE56" s="7">
        <f t="shared" si="129"/>
        <v>0</v>
      </c>
      <c r="BF56" s="7">
        <f t="shared" si="130"/>
        <v>0</v>
      </c>
      <c r="BG56" s="8" t="b">
        <f t="shared" si="131"/>
        <v>0</v>
      </c>
      <c r="BH56" s="235" t="str">
        <f t="shared" si="132"/>
        <v/>
      </c>
      <c r="BI56" s="75">
        <f t="shared" si="133"/>
        <v>0</v>
      </c>
      <c r="BJ56" s="15">
        <f t="shared" si="134"/>
        <v>0</v>
      </c>
      <c r="BK56" s="15">
        <f t="shared" si="92"/>
        <v>0</v>
      </c>
      <c r="BL56" s="18">
        <f t="shared" si="135"/>
        <v>0</v>
      </c>
      <c r="BM56" s="78">
        <f t="shared" si="136"/>
        <v>0</v>
      </c>
      <c r="BN56" s="14">
        <f t="shared" si="137"/>
        <v>0</v>
      </c>
      <c r="BO56" s="14">
        <f t="shared" si="138"/>
        <v>0</v>
      </c>
      <c r="BP56" s="15">
        <f t="shared" si="93"/>
        <v>0</v>
      </c>
      <c r="BQ56" s="73">
        <f t="shared" si="139"/>
        <v>0</v>
      </c>
      <c r="BR56" s="13"/>
      <c r="BS56" s="75">
        <f t="shared" si="106"/>
        <v>0</v>
      </c>
      <c r="BT56" s="15">
        <f t="shared" si="107"/>
        <v>0</v>
      </c>
      <c r="BU56" s="15">
        <f t="shared" si="108"/>
        <v>0</v>
      </c>
      <c r="BV56" s="17">
        <f t="shared" si="109"/>
        <v>0</v>
      </c>
      <c r="BW56" s="72">
        <f t="shared" si="140"/>
        <v>0</v>
      </c>
      <c r="BX56" s="14">
        <f t="shared" si="141"/>
        <v>0</v>
      </c>
      <c r="BY56" s="15">
        <f t="shared" si="97"/>
        <v>0</v>
      </c>
      <c r="BZ56" s="14">
        <f t="shared" si="98"/>
        <v>0</v>
      </c>
      <c r="CA56" s="73">
        <f t="shared" si="142"/>
        <v>0</v>
      </c>
      <c r="CB56" s="192" t="e">
        <f t="shared" si="143"/>
        <v>#DIV/0!</v>
      </c>
      <c r="CC56" s="72" t="e">
        <f t="shared" si="144"/>
        <v>#DIV/0!</v>
      </c>
      <c r="CD56" s="14">
        <f t="shared" si="145"/>
        <v>0</v>
      </c>
      <c r="CE56" s="19">
        <f t="shared" si="183"/>
        <v>0</v>
      </c>
      <c r="CF56" s="19">
        <f t="shared" si="146"/>
        <v>0</v>
      </c>
      <c r="CG56" s="20" t="e">
        <f t="shared" si="147"/>
        <v>#DIV/0!</v>
      </c>
      <c r="CH56" s="20" t="e">
        <f t="shared" si="148"/>
        <v>#DIV/0!</v>
      </c>
      <c r="CI56" s="83" t="e">
        <f t="shared" si="100"/>
        <v>#DIV/0!</v>
      </c>
      <c r="CJ56" s="77" t="e">
        <f t="shared" si="149"/>
        <v>#DIV/0!</v>
      </c>
      <c r="CK56" s="2" t="e">
        <f t="shared" si="101"/>
        <v>#DIV/0!</v>
      </c>
      <c r="CL56" s="2" t="str">
        <f t="shared" si="150"/>
        <v/>
      </c>
      <c r="CM56" s="231" t="e">
        <f t="shared" si="102"/>
        <v>#DIV/0!</v>
      </c>
      <c r="CN56" s="233" t="e">
        <f t="shared" si="103"/>
        <v>#DIV/0!</v>
      </c>
      <c r="CO56" s="233">
        <f t="shared" si="104"/>
        <v>0</v>
      </c>
      <c r="CP56" s="2">
        <f t="shared" si="151"/>
        <v>1</v>
      </c>
      <c r="CQ56" s="2">
        <f t="shared" si="152"/>
        <v>1</v>
      </c>
      <c r="CR56" s="2" t="str">
        <f t="shared" si="153"/>
        <v/>
      </c>
      <c r="CS56" s="2">
        <f t="shared" si="154"/>
        <v>0</v>
      </c>
      <c r="CT56" s="191">
        <f t="shared" si="155"/>
        <v>0</v>
      </c>
      <c r="CU56" s="2" t="str">
        <f t="shared" si="156"/>
        <v>OK</v>
      </c>
      <c r="CV56" s="232">
        <f t="shared" si="157"/>
        <v>0.05</v>
      </c>
      <c r="CW56" s="191" t="e">
        <f t="shared" si="158"/>
        <v>#DIV/0!</v>
      </c>
      <c r="CX56" s="191" t="e">
        <f t="shared" si="159"/>
        <v>#DIV/0!</v>
      </c>
      <c r="CY56" s="191" t="e">
        <f t="shared" si="160"/>
        <v>#DIV/0!</v>
      </c>
      <c r="CZ56" s="191" t="e">
        <f t="shared" si="161"/>
        <v>#DIV/0!</v>
      </c>
      <c r="DA56" s="191">
        <f t="shared" si="162"/>
        <v>1</v>
      </c>
      <c r="DB56" s="191">
        <f t="shared" si="163"/>
        <v>0</v>
      </c>
      <c r="DC56" s="2" t="str">
        <f t="shared" si="164"/>
        <v>Soft</v>
      </c>
      <c r="DD56" s="2"/>
      <c r="DE56" s="2">
        <f t="shared" si="165"/>
        <v>0</v>
      </c>
      <c r="DF56" s="191" t="e">
        <f t="shared" si="166"/>
        <v>#DIV/0!</v>
      </c>
      <c r="DG56" s="191" t="e">
        <f t="shared" si="167"/>
        <v>#DIV/0!</v>
      </c>
      <c r="DH56" s="191" t="e">
        <f t="shared" si="168"/>
        <v>#DIV/0!</v>
      </c>
      <c r="DI56" s="191" t="e">
        <f t="shared" si="169"/>
        <v>#DIV/0!</v>
      </c>
      <c r="DJ56" s="191" t="e">
        <f t="shared" si="105"/>
        <v>#DIV/0!</v>
      </c>
      <c r="DK56" s="2"/>
      <c r="DL56" s="2"/>
      <c r="DM56" s="2"/>
      <c r="DN56" s="2">
        <f t="shared" si="170"/>
        <v>1</v>
      </c>
      <c r="DO56" s="191" t="e">
        <f t="shared" si="171"/>
        <v>#DIV/0!</v>
      </c>
      <c r="DP56" s="191" t="e">
        <f t="shared" si="172"/>
        <v>#DIV/0!</v>
      </c>
      <c r="DQ56" s="191" t="e">
        <f t="shared" si="173"/>
        <v>#DIV/0!</v>
      </c>
      <c r="DR56" s="191" t="e">
        <f t="shared" si="174"/>
        <v>#DIV/0!</v>
      </c>
      <c r="DS56" s="191" t="e">
        <f t="shared" si="175"/>
        <v>#DIV/0!</v>
      </c>
      <c r="DT56" s="191" t="e">
        <f t="shared" si="176"/>
        <v>#DIV/0!</v>
      </c>
      <c r="DU56" s="191">
        <f t="shared" si="177"/>
        <v>0</v>
      </c>
      <c r="DV56" s="2"/>
      <c r="DW56" s="2" t="b">
        <f t="shared" si="178"/>
        <v>1</v>
      </c>
      <c r="DX56" s="2" t="b">
        <f t="shared" si="179"/>
        <v>1</v>
      </c>
      <c r="DY56" s="2" t="b">
        <f t="shared" si="180"/>
        <v>1</v>
      </c>
      <c r="DZ56" s="2" t="b">
        <f t="shared" si="181"/>
        <v>1</v>
      </c>
      <c r="EA56" s="2" t="b">
        <f t="shared" si="182"/>
        <v>1</v>
      </c>
      <c r="EB56"/>
    </row>
    <row r="57" spans="1:132" s="108" customFormat="1" ht="18.5" hidden="1" thickBot="1" x14ac:dyDescent="0.45">
      <c r="A57" s="109"/>
      <c r="B57" s="88" t="str">
        <f t="shared" si="80"/>
        <v>-</v>
      </c>
      <c r="C57" s="118">
        <v>38</v>
      </c>
      <c r="D57" s="794"/>
      <c r="E57" s="795"/>
      <c r="F57" s="566"/>
      <c r="G57" s="567"/>
      <c r="H57" s="568"/>
      <c r="I57" s="558"/>
      <c r="J57" s="559"/>
      <c r="K57" s="560"/>
      <c r="L57" s="560"/>
      <c r="M57" s="560"/>
      <c r="N57" s="561"/>
      <c r="O57" s="562"/>
      <c r="P57" s="563"/>
      <c r="Q57" s="564"/>
      <c r="R57" s="565"/>
      <c r="S57" s="112" t="str">
        <f t="shared" si="110"/>
        <v/>
      </c>
      <c r="T57" s="113" t="str">
        <f t="shared" si="111"/>
        <v/>
      </c>
      <c r="U57" s="114">
        <f t="shared" si="112"/>
        <v>0</v>
      </c>
      <c r="V57" s="117" t="str">
        <f t="shared" si="113"/>
        <v/>
      </c>
      <c r="W57" s="234" t="str">
        <f t="shared" si="114"/>
        <v/>
      </c>
      <c r="X57" s="115">
        <f t="shared" si="7"/>
        <v>0</v>
      </c>
      <c r="Y57" s="116" t="str">
        <f t="shared" si="115"/>
        <v/>
      </c>
      <c r="Z57" s="111"/>
      <c r="AA57" s="2"/>
      <c r="AB57" s="2">
        <v>38</v>
      </c>
      <c r="AC57" s="22" t="str">
        <f t="shared" si="9"/>
        <v>-</v>
      </c>
      <c r="AD57" s="22">
        <f t="shared" si="81"/>
        <v>0</v>
      </c>
      <c r="AE57" s="22">
        <f t="shared" si="82"/>
        <v>0</v>
      </c>
      <c r="AF57" s="22"/>
      <c r="AG57" s="21">
        <f t="shared" si="83"/>
        <v>0</v>
      </c>
      <c r="AH57" s="6">
        <f t="shared" si="116"/>
        <v>0</v>
      </c>
      <c r="AI57" s="7">
        <f>IF(SUM(AH57:AH$99)=0,0,F57&gt;0)</f>
        <v>0</v>
      </c>
      <c r="AJ57" s="6">
        <f t="shared" si="117"/>
        <v>0</v>
      </c>
      <c r="AK57" s="7">
        <f>IF(SUM(AH57:AH$99)=0,0,AND(AI57=FALSE,AJ57=0,SUM(AJ57:AJ$99)&gt;0))</f>
        <v>0</v>
      </c>
      <c r="AL57" s="7">
        <f t="shared" si="84"/>
        <v>0</v>
      </c>
      <c r="AM57" s="7">
        <f t="shared" si="118"/>
        <v>0</v>
      </c>
      <c r="AN57" s="9">
        <f t="shared" si="119"/>
        <v>0</v>
      </c>
      <c r="AO57" s="9">
        <f t="shared" si="120"/>
        <v>0</v>
      </c>
      <c r="AP57" s="486">
        <f t="shared" si="121"/>
        <v>0</v>
      </c>
      <c r="AQ57" s="486">
        <f t="shared" si="85"/>
        <v>0</v>
      </c>
      <c r="AR57" s="7">
        <f t="shared" si="122"/>
        <v>0</v>
      </c>
      <c r="AS57" s="7" t="str">
        <f t="shared" si="86"/>
        <v/>
      </c>
      <c r="AT57" s="7">
        <f t="shared" si="123"/>
        <v>0</v>
      </c>
      <c r="AU57" s="485">
        <f t="shared" si="87"/>
        <v>0</v>
      </c>
      <c r="AV57" s="7">
        <f t="shared" si="124"/>
        <v>0</v>
      </c>
      <c r="AW57" s="7">
        <f t="shared" si="125"/>
        <v>0</v>
      </c>
      <c r="AX57" s="7">
        <f t="shared" si="126"/>
        <v>0</v>
      </c>
      <c r="AY57" s="484">
        <f t="shared" si="88"/>
        <v>0</v>
      </c>
      <c r="AZ57" s="7">
        <f t="shared" si="127"/>
        <v>0</v>
      </c>
      <c r="BA57" s="483">
        <f t="shared" si="89"/>
        <v>0</v>
      </c>
      <c r="BB57" s="487" t="str">
        <f t="shared" si="90"/>
        <v/>
      </c>
      <c r="BC57" s="487" t="str">
        <f t="shared" si="91"/>
        <v/>
      </c>
      <c r="BD57" s="7">
        <f t="shared" si="128"/>
        <v>0</v>
      </c>
      <c r="BE57" s="7">
        <f t="shared" si="129"/>
        <v>0</v>
      </c>
      <c r="BF57" s="7">
        <f t="shared" si="130"/>
        <v>0</v>
      </c>
      <c r="BG57" s="8" t="b">
        <f t="shared" si="131"/>
        <v>0</v>
      </c>
      <c r="BH57" s="235" t="str">
        <f t="shared" si="132"/>
        <v/>
      </c>
      <c r="BI57" s="75">
        <f t="shared" si="133"/>
        <v>0</v>
      </c>
      <c r="BJ57" s="15">
        <f t="shared" si="134"/>
        <v>0</v>
      </c>
      <c r="BK57" s="15">
        <f t="shared" si="92"/>
        <v>0</v>
      </c>
      <c r="BL57" s="18">
        <f t="shared" si="135"/>
        <v>0</v>
      </c>
      <c r="BM57" s="78">
        <f t="shared" si="136"/>
        <v>0</v>
      </c>
      <c r="BN57" s="14">
        <f t="shared" si="137"/>
        <v>0</v>
      </c>
      <c r="BO57" s="14">
        <f t="shared" si="138"/>
        <v>0</v>
      </c>
      <c r="BP57" s="15">
        <f t="shared" si="93"/>
        <v>0</v>
      </c>
      <c r="BQ57" s="73">
        <f t="shared" si="139"/>
        <v>0</v>
      </c>
      <c r="BR57" s="13"/>
      <c r="BS57" s="75">
        <f t="shared" si="106"/>
        <v>0</v>
      </c>
      <c r="BT57" s="15">
        <f t="shared" si="107"/>
        <v>0</v>
      </c>
      <c r="BU57" s="15">
        <f t="shared" si="108"/>
        <v>0</v>
      </c>
      <c r="BV57" s="17">
        <f t="shared" si="109"/>
        <v>0</v>
      </c>
      <c r="BW57" s="72">
        <f t="shared" si="140"/>
        <v>0</v>
      </c>
      <c r="BX57" s="14">
        <f t="shared" si="141"/>
        <v>0</v>
      </c>
      <c r="BY57" s="15">
        <f t="shared" si="97"/>
        <v>0</v>
      </c>
      <c r="BZ57" s="14">
        <f t="shared" si="98"/>
        <v>0</v>
      </c>
      <c r="CA57" s="73">
        <f t="shared" si="142"/>
        <v>0</v>
      </c>
      <c r="CB57" s="192" t="e">
        <f t="shared" si="143"/>
        <v>#DIV/0!</v>
      </c>
      <c r="CC57" s="72" t="e">
        <f t="shared" si="144"/>
        <v>#DIV/0!</v>
      </c>
      <c r="CD57" s="14">
        <f t="shared" si="145"/>
        <v>0</v>
      </c>
      <c r="CE57" s="19">
        <f t="shared" si="183"/>
        <v>0</v>
      </c>
      <c r="CF57" s="19">
        <f t="shared" si="146"/>
        <v>0</v>
      </c>
      <c r="CG57" s="20" t="e">
        <f t="shared" si="147"/>
        <v>#DIV/0!</v>
      </c>
      <c r="CH57" s="20" t="e">
        <f t="shared" si="148"/>
        <v>#DIV/0!</v>
      </c>
      <c r="CI57" s="83" t="e">
        <f t="shared" si="100"/>
        <v>#DIV/0!</v>
      </c>
      <c r="CJ57" s="77" t="e">
        <f t="shared" si="149"/>
        <v>#DIV/0!</v>
      </c>
      <c r="CK57" s="2" t="e">
        <f t="shared" si="101"/>
        <v>#DIV/0!</v>
      </c>
      <c r="CL57" s="2" t="str">
        <f t="shared" si="150"/>
        <v/>
      </c>
      <c r="CM57" s="231" t="e">
        <f t="shared" si="102"/>
        <v>#DIV/0!</v>
      </c>
      <c r="CN57" s="233" t="e">
        <f t="shared" si="103"/>
        <v>#DIV/0!</v>
      </c>
      <c r="CO57" s="233">
        <f t="shared" si="104"/>
        <v>0</v>
      </c>
      <c r="CP57" s="2">
        <f t="shared" si="151"/>
        <v>1</v>
      </c>
      <c r="CQ57" s="2">
        <f t="shared" si="152"/>
        <v>1</v>
      </c>
      <c r="CR57" s="2" t="str">
        <f t="shared" si="153"/>
        <v/>
      </c>
      <c r="CS57" s="2">
        <f t="shared" si="154"/>
        <v>0</v>
      </c>
      <c r="CT57" s="191">
        <f t="shared" si="155"/>
        <v>0</v>
      </c>
      <c r="CU57" s="2" t="str">
        <f t="shared" si="156"/>
        <v>OK</v>
      </c>
      <c r="CV57" s="232">
        <f t="shared" si="157"/>
        <v>0.05</v>
      </c>
      <c r="CW57" s="191" t="e">
        <f t="shared" si="158"/>
        <v>#DIV/0!</v>
      </c>
      <c r="CX57" s="191" t="e">
        <f t="shared" si="159"/>
        <v>#DIV/0!</v>
      </c>
      <c r="CY57" s="191" t="e">
        <f t="shared" si="160"/>
        <v>#DIV/0!</v>
      </c>
      <c r="CZ57" s="191" t="e">
        <f t="shared" si="161"/>
        <v>#DIV/0!</v>
      </c>
      <c r="DA57" s="191">
        <f t="shared" si="162"/>
        <v>1</v>
      </c>
      <c r="DB57" s="191">
        <f t="shared" si="163"/>
        <v>0</v>
      </c>
      <c r="DC57" s="2" t="str">
        <f t="shared" si="164"/>
        <v>Soft</v>
      </c>
      <c r="DD57" s="2"/>
      <c r="DE57" s="2">
        <f t="shared" si="165"/>
        <v>0</v>
      </c>
      <c r="DF57" s="191" t="e">
        <f t="shared" si="166"/>
        <v>#DIV/0!</v>
      </c>
      <c r="DG57" s="191" t="e">
        <f t="shared" si="167"/>
        <v>#DIV/0!</v>
      </c>
      <c r="DH57" s="191" t="e">
        <f t="shared" si="168"/>
        <v>#DIV/0!</v>
      </c>
      <c r="DI57" s="191" t="e">
        <f t="shared" si="169"/>
        <v>#DIV/0!</v>
      </c>
      <c r="DJ57" s="191" t="e">
        <f t="shared" si="105"/>
        <v>#DIV/0!</v>
      </c>
      <c r="DK57" s="2"/>
      <c r="DL57" s="2"/>
      <c r="DM57" s="2"/>
      <c r="DN57" s="2">
        <f t="shared" si="170"/>
        <v>1</v>
      </c>
      <c r="DO57" s="191" t="e">
        <f t="shared" si="171"/>
        <v>#DIV/0!</v>
      </c>
      <c r="DP57" s="191" t="e">
        <f t="shared" si="172"/>
        <v>#DIV/0!</v>
      </c>
      <c r="DQ57" s="191" t="e">
        <f t="shared" si="173"/>
        <v>#DIV/0!</v>
      </c>
      <c r="DR57" s="191" t="e">
        <f t="shared" si="174"/>
        <v>#DIV/0!</v>
      </c>
      <c r="DS57" s="191" t="e">
        <f t="shared" si="175"/>
        <v>#DIV/0!</v>
      </c>
      <c r="DT57" s="191" t="e">
        <f t="shared" si="176"/>
        <v>#DIV/0!</v>
      </c>
      <c r="DU57" s="191">
        <f t="shared" si="177"/>
        <v>0</v>
      </c>
      <c r="DV57" s="2"/>
      <c r="DW57" s="2" t="b">
        <f t="shared" si="178"/>
        <v>1</v>
      </c>
      <c r="DX57" s="2" t="b">
        <f t="shared" si="179"/>
        <v>1</v>
      </c>
      <c r="DY57" s="2" t="b">
        <f t="shared" si="180"/>
        <v>1</v>
      </c>
      <c r="DZ57" s="2" t="b">
        <f t="shared" si="181"/>
        <v>1</v>
      </c>
      <c r="EA57" s="2" t="b">
        <f t="shared" si="182"/>
        <v>1</v>
      </c>
      <c r="EB57"/>
    </row>
    <row r="58" spans="1:132" s="108" customFormat="1" ht="18.5" hidden="1" thickBot="1" x14ac:dyDescent="0.45">
      <c r="A58" s="109"/>
      <c r="B58" s="88" t="str">
        <f t="shared" si="80"/>
        <v>-</v>
      </c>
      <c r="C58" s="118">
        <v>39</v>
      </c>
      <c r="D58" s="794"/>
      <c r="E58" s="795"/>
      <c r="F58" s="566"/>
      <c r="G58" s="567"/>
      <c r="H58" s="568"/>
      <c r="I58" s="558"/>
      <c r="J58" s="559"/>
      <c r="K58" s="560"/>
      <c r="L58" s="560"/>
      <c r="M58" s="560"/>
      <c r="N58" s="561"/>
      <c r="O58" s="562"/>
      <c r="P58" s="563"/>
      <c r="Q58" s="564"/>
      <c r="R58" s="565"/>
      <c r="S58" s="112" t="str">
        <f t="shared" si="110"/>
        <v/>
      </c>
      <c r="T58" s="113" t="str">
        <f t="shared" si="111"/>
        <v/>
      </c>
      <c r="U58" s="114">
        <f t="shared" si="112"/>
        <v>0</v>
      </c>
      <c r="V58" s="117" t="str">
        <f t="shared" si="113"/>
        <v/>
      </c>
      <c r="W58" s="234" t="str">
        <f t="shared" si="114"/>
        <v/>
      </c>
      <c r="X58" s="115">
        <f t="shared" si="7"/>
        <v>0</v>
      </c>
      <c r="Y58" s="116" t="str">
        <f t="shared" si="115"/>
        <v/>
      </c>
      <c r="Z58" s="111"/>
      <c r="AA58" s="2"/>
      <c r="AB58" s="2">
        <v>39</v>
      </c>
      <c r="AC58" s="22" t="str">
        <f t="shared" si="9"/>
        <v>-</v>
      </c>
      <c r="AD58" s="22">
        <f t="shared" si="81"/>
        <v>0</v>
      </c>
      <c r="AE58" s="22">
        <f t="shared" si="82"/>
        <v>0</v>
      </c>
      <c r="AF58" s="22"/>
      <c r="AG58" s="21">
        <f t="shared" si="83"/>
        <v>0</v>
      </c>
      <c r="AH58" s="6">
        <f t="shared" si="116"/>
        <v>0</v>
      </c>
      <c r="AI58" s="7">
        <f>IF(SUM(AH58:AH$99)=0,0,F58&gt;0)</f>
        <v>0</v>
      </c>
      <c r="AJ58" s="6">
        <f t="shared" si="117"/>
        <v>0</v>
      </c>
      <c r="AK58" s="7">
        <f>IF(SUM(AH58:AH$99)=0,0,AND(AI58=FALSE,AJ58=0,SUM(AJ58:AJ$99)&gt;0))</f>
        <v>0</v>
      </c>
      <c r="AL58" s="7">
        <f t="shared" si="84"/>
        <v>0</v>
      </c>
      <c r="AM58" s="7">
        <f t="shared" si="118"/>
        <v>0</v>
      </c>
      <c r="AN58" s="9">
        <f t="shared" si="119"/>
        <v>0</v>
      </c>
      <c r="AO58" s="9">
        <f t="shared" si="120"/>
        <v>0</v>
      </c>
      <c r="AP58" s="486">
        <f t="shared" si="121"/>
        <v>0</v>
      </c>
      <c r="AQ58" s="486">
        <f t="shared" si="85"/>
        <v>0</v>
      </c>
      <c r="AR58" s="7">
        <f t="shared" si="122"/>
        <v>0</v>
      </c>
      <c r="AS58" s="7" t="str">
        <f t="shared" si="86"/>
        <v/>
      </c>
      <c r="AT58" s="7">
        <f t="shared" si="123"/>
        <v>0</v>
      </c>
      <c r="AU58" s="485">
        <f t="shared" si="87"/>
        <v>0</v>
      </c>
      <c r="AV58" s="7">
        <f t="shared" si="124"/>
        <v>0</v>
      </c>
      <c r="AW58" s="7">
        <f t="shared" si="125"/>
        <v>0</v>
      </c>
      <c r="AX58" s="7">
        <f t="shared" si="126"/>
        <v>0</v>
      </c>
      <c r="AY58" s="484">
        <f t="shared" si="88"/>
        <v>0</v>
      </c>
      <c r="AZ58" s="7">
        <f t="shared" si="127"/>
        <v>0</v>
      </c>
      <c r="BA58" s="483">
        <f t="shared" si="89"/>
        <v>0</v>
      </c>
      <c r="BB58" s="487" t="str">
        <f t="shared" si="90"/>
        <v/>
      </c>
      <c r="BC58" s="487" t="str">
        <f t="shared" si="91"/>
        <v/>
      </c>
      <c r="BD58" s="7">
        <f t="shared" si="128"/>
        <v>0</v>
      </c>
      <c r="BE58" s="7">
        <f t="shared" si="129"/>
        <v>0</v>
      </c>
      <c r="BF58" s="7">
        <f t="shared" si="130"/>
        <v>0</v>
      </c>
      <c r="BG58" s="8" t="b">
        <f t="shared" si="131"/>
        <v>0</v>
      </c>
      <c r="BH58" s="235" t="str">
        <f t="shared" si="132"/>
        <v/>
      </c>
      <c r="BI58" s="75">
        <f t="shared" si="133"/>
        <v>0</v>
      </c>
      <c r="BJ58" s="15">
        <f t="shared" si="134"/>
        <v>0</v>
      </c>
      <c r="BK58" s="15">
        <f t="shared" si="92"/>
        <v>0</v>
      </c>
      <c r="BL58" s="18">
        <f t="shared" si="135"/>
        <v>0</v>
      </c>
      <c r="BM58" s="78">
        <f t="shared" si="136"/>
        <v>0</v>
      </c>
      <c r="BN58" s="14">
        <f t="shared" si="137"/>
        <v>0</v>
      </c>
      <c r="BO58" s="14">
        <f t="shared" si="138"/>
        <v>0</v>
      </c>
      <c r="BP58" s="15">
        <f t="shared" si="93"/>
        <v>0</v>
      </c>
      <c r="BQ58" s="73">
        <f t="shared" si="139"/>
        <v>0</v>
      </c>
      <c r="BR58" s="13"/>
      <c r="BS58" s="75">
        <f t="shared" si="106"/>
        <v>0</v>
      </c>
      <c r="BT58" s="15">
        <f t="shared" si="107"/>
        <v>0</v>
      </c>
      <c r="BU58" s="15">
        <f t="shared" si="108"/>
        <v>0</v>
      </c>
      <c r="BV58" s="17">
        <f t="shared" si="109"/>
        <v>0</v>
      </c>
      <c r="BW58" s="72">
        <f t="shared" si="140"/>
        <v>0</v>
      </c>
      <c r="BX58" s="14">
        <f t="shared" si="141"/>
        <v>0</v>
      </c>
      <c r="BY58" s="15">
        <f t="shared" si="97"/>
        <v>0</v>
      </c>
      <c r="BZ58" s="14">
        <f t="shared" si="98"/>
        <v>0</v>
      </c>
      <c r="CA58" s="73">
        <f t="shared" si="142"/>
        <v>0</v>
      </c>
      <c r="CB58" s="192" t="e">
        <f t="shared" si="143"/>
        <v>#DIV/0!</v>
      </c>
      <c r="CC58" s="72" t="e">
        <f t="shared" si="144"/>
        <v>#DIV/0!</v>
      </c>
      <c r="CD58" s="14">
        <f t="shared" si="145"/>
        <v>0</v>
      </c>
      <c r="CE58" s="19">
        <f t="shared" si="183"/>
        <v>0</v>
      </c>
      <c r="CF58" s="19">
        <f t="shared" si="146"/>
        <v>0</v>
      </c>
      <c r="CG58" s="20" t="e">
        <f t="shared" si="147"/>
        <v>#DIV/0!</v>
      </c>
      <c r="CH58" s="20" t="e">
        <f t="shared" si="148"/>
        <v>#DIV/0!</v>
      </c>
      <c r="CI58" s="83" t="e">
        <f t="shared" si="100"/>
        <v>#DIV/0!</v>
      </c>
      <c r="CJ58" s="77" t="e">
        <f t="shared" si="149"/>
        <v>#DIV/0!</v>
      </c>
      <c r="CK58" s="2" t="e">
        <f t="shared" si="101"/>
        <v>#DIV/0!</v>
      </c>
      <c r="CL58" s="2" t="str">
        <f t="shared" si="150"/>
        <v/>
      </c>
      <c r="CM58" s="231" t="e">
        <f t="shared" si="102"/>
        <v>#DIV/0!</v>
      </c>
      <c r="CN58" s="233" t="e">
        <f t="shared" si="103"/>
        <v>#DIV/0!</v>
      </c>
      <c r="CO58" s="233">
        <f t="shared" si="104"/>
        <v>0</v>
      </c>
      <c r="CP58" s="2">
        <f t="shared" si="151"/>
        <v>1</v>
      </c>
      <c r="CQ58" s="2">
        <f t="shared" si="152"/>
        <v>1</v>
      </c>
      <c r="CR58" s="2" t="str">
        <f t="shared" si="153"/>
        <v/>
      </c>
      <c r="CS58" s="2">
        <f t="shared" si="154"/>
        <v>0</v>
      </c>
      <c r="CT58" s="191">
        <f t="shared" si="155"/>
        <v>0</v>
      </c>
      <c r="CU58" s="2" t="str">
        <f t="shared" si="156"/>
        <v>OK</v>
      </c>
      <c r="CV58" s="232">
        <f t="shared" si="157"/>
        <v>0.05</v>
      </c>
      <c r="CW58" s="191" t="e">
        <f t="shared" si="158"/>
        <v>#DIV/0!</v>
      </c>
      <c r="CX58" s="191" t="e">
        <f t="shared" si="159"/>
        <v>#DIV/0!</v>
      </c>
      <c r="CY58" s="191" t="e">
        <f t="shared" si="160"/>
        <v>#DIV/0!</v>
      </c>
      <c r="CZ58" s="191" t="e">
        <f t="shared" si="161"/>
        <v>#DIV/0!</v>
      </c>
      <c r="DA58" s="191">
        <f t="shared" si="162"/>
        <v>1</v>
      </c>
      <c r="DB58" s="191">
        <f t="shared" si="163"/>
        <v>0</v>
      </c>
      <c r="DC58" s="2" t="str">
        <f t="shared" si="164"/>
        <v>Soft</v>
      </c>
      <c r="DD58" s="2"/>
      <c r="DE58" s="2">
        <f t="shared" si="165"/>
        <v>0</v>
      </c>
      <c r="DF58" s="191" t="e">
        <f t="shared" si="166"/>
        <v>#DIV/0!</v>
      </c>
      <c r="DG58" s="191" t="e">
        <f t="shared" si="167"/>
        <v>#DIV/0!</v>
      </c>
      <c r="DH58" s="191" t="e">
        <f t="shared" si="168"/>
        <v>#DIV/0!</v>
      </c>
      <c r="DI58" s="191" t="e">
        <f t="shared" si="169"/>
        <v>#DIV/0!</v>
      </c>
      <c r="DJ58" s="191" t="e">
        <f t="shared" si="105"/>
        <v>#DIV/0!</v>
      </c>
      <c r="DK58" s="2"/>
      <c r="DL58" s="2"/>
      <c r="DM58" s="2"/>
      <c r="DN58" s="2">
        <f t="shared" si="170"/>
        <v>1</v>
      </c>
      <c r="DO58" s="191" t="e">
        <f t="shared" si="171"/>
        <v>#DIV/0!</v>
      </c>
      <c r="DP58" s="191" t="e">
        <f t="shared" si="172"/>
        <v>#DIV/0!</v>
      </c>
      <c r="DQ58" s="191" t="e">
        <f t="shared" si="173"/>
        <v>#DIV/0!</v>
      </c>
      <c r="DR58" s="191" t="e">
        <f t="shared" si="174"/>
        <v>#DIV/0!</v>
      </c>
      <c r="DS58" s="191" t="e">
        <f t="shared" si="175"/>
        <v>#DIV/0!</v>
      </c>
      <c r="DT58" s="191" t="e">
        <f t="shared" si="176"/>
        <v>#DIV/0!</v>
      </c>
      <c r="DU58" s="191">
        <f t="shared" si="177"/>
        <v>0</v>
      </c>
      <c r="DV58" s="2"/>
      <c r="DW58" s="2" t="b">
        <f t="shared" si="178"/>
        <v>1</v>
      </c>
      <c r="DX58" s="2" t="b">
        <f t="shared" si="179"/>
        <v>1</v>
      </c>
      <c r="DY58" s="2" t="b">
        <f t="shared" si="180"/>
        <v>1</v>
      </c>
      <c r="DZ58" s="2" t="b">
        <f t="shared" si="181"/>
        <v>1</v>
      </c>
      <c r="EA58" s="2" t="b">
        <f t="shared" si="182"/>
        <v>1</v>
      </c>
      <c r="EB58"/>
    </row>
    <row r="59" spans="1:132" s="108" customFormat="1" ht="18.5" hidden="1" thickBot="1" x14ac:dyDescent="0.45">
      <c r="A59" s="109"/>
      <c r="B59" s="88" t="str">
        <f t="shared" si="80"/>
        <v>-</v>
      </c>
      <c r="C59" s="118">
        <v>40</v>
      </c>
      <c r="D59" s="794"/>
      <c r="E59" s="795"/>
      <c r="F59" s="566"/>
      <c r="G59" s="567"/>
      <c r="H59" s="568"/>
      <c r="I59" s="558"/>
      <c r="J59" s="559"/>
      <c r="K59" s="560"/>
      <c r="L59" s="560"/>
      <c r="M59" s="560"/>
      <c r="N59" s="561"/>
      <c r="O59" s="562"/>
      <c r="P59" s="563"/>
      <c r="Q59" s="564"/>
      <c r="R59" s="565"/>
      <c r="S59" s="112" t="str">
        <f t="shared" si="110"/>
        <v/>
      </c>
      <c r="T59" s="113" t="str">
        <f t="shared" si="111"/>
        <v/>
      </c>
      <c r="U59" s="114">
        <f t="shared" si="112"/>
        <v>0</v>
      </c>
      <c r="V59" s="117" t="str">
        <f t="shared" si="113"/>
        <v/>
      </c>
      <c r="W59" s="234" t="str">
        <f t="shared" si="114"/>
        <v/>
      </c>
      <c r="X59" s="115">
        <f t="shared" ref="X59:X98" si="184">IF(AND(AllInputsOK=FALSE,CD59&gt;0),"",CD59)</f>
        <v>0</v>
      </c>
      <c r="Y59" s="116" t="str">
        <f t="shared" si="115"/>
        <v/>
      </c>
      <c r="Z59" s="111"/>
      <c r="AA59" s="2"/>
      <c r="AB59" s="2">
        <v>40</v>
      </c>
      <c r="AC59" s="22" t="str">
        <f t="shared" ref="AC59:AC99" si="185">IF(AND(RowsPreferred&lt;LastActive,LastActive&gt;=AB59),LastActive,IF(RowsPreferred&gt;=AB59,RowsPreferred,"-"))</f>
        <v>-</v>
      </c>
      <c r="AD59" s="22">
        <f t="shared" ref="AD59:AD99" si="186">IF(AI59=TRUE,1,0)</f>
        <v>0</v>
      </c>
      <c r="AE59" s="22">
        <f t="shared" si="82"/>
        <v>0</v>
      </c>
      <c r="AF59" s="22"/>
      <c r="AG59" s="21">
        <f t="shared" si="83"/>
        <v>0</v>
      </c>
      <c r="AH59" s="6">
        <f t="shared" si="116"/>
        <v>0</v>
      </c>
      <c r="AI59" s="7">
        <f>IF(SUM(AH59:AH$99)=0,0,F59&gt;0)</f>
        <v>0</v>
      </c>
      <c r="AJ59" s="6">
        <f t="shared" si="117"/>
        <v>0</v>
      </c>
      <c r="AK59" s="7">
        <f>IF(SUM(AH59:AH$99)=0,0,AND(AI59=FALSE,AJ59=0,SUM(AJ59:AJ$99)&gt;0))</f>
        <v>0</v>
      </c>
      <c r="AL59" s="7">
        <f t="shared" si="84"/>
        <v>0</v>
      </c>
      <c r="AM59" s="7">
        <f t="shared" si="118"/>
        <v>0</v>
      </c>
      <c r="AN59" s="9">
        <f t="shared" si="119"/>
        <v>0</v>
      </c>
      <c r="AO59" s="9">
        <f t="shared" si="120"/>
        <v>0</v>
      </c>
      <c r="AP59" s="486">
        <f t="shared" si="121"/>
        <v>0</v>
      </c>
      <c r="AQ59" s="486">
        <f t="shared" si="85"/>
        <v>0</v>
      </c>
      <c r="AR59" s="7">
        <f t="shared" si="122"/>
        <v>0</v>
      </c>
      <c r="AS59" s="7" t="str">
        <f t="shared" si="86"/>
        <v/>
      </c>
      <c r="AT59" s="7">
        <f t="shared" si="123"/>
        <v>0</v>
      </c>
      <c r="AU59" s="485">
        <f t="shared" si="87"/>
        <v>0</v>
      </c>
      <c r="AV59" s="7">
        <f t="shared" si="124"/>
        <v>0</v>
      </c>
      <c r="AW59" s="7">
        <f t="shared" si="125"/>
        <v>0</v>
      </c>
      <c r="AX59" s="7">
        <f t="shared" si="126"/>
        <v>0</v>
      </c>
      <c r="AY59" s="484">
        <f t="shared" si="88"/>
        <v>0</v>
      </c>
      <c r="AZ59" s="7">
        <f t="shared" si="127"/>
        <v>0</v>
      </c>
      <c r="BA59" s="483">
        <f t="shared" si="89"/>
        <v>0</v>
      </c>
      <c r="BB59" s="487" t="str">
        <f t="shared" si="90"/>
        <v/>
      </c>
      <c r="BC59" s="487" t="str">
        <f t="shared" si="91"/>
        <v/>
      </c>
      <c r="BD59" s="7">
        <f t="shared" si="128"/>
        <v>0</v>
      </c>
      <c r="BE59" s="7">
        <f t="shared" si="129"/>
        <v>0</v>
      </c>
      <c r="BF59" s="7">
        <f t="shared" si="130"/>
        <v>0</v>
      </c>
      <c r="BG59" s="8" t="b">
        <f t="shared" si="131"/>
        <v>0</v>
      </c>
      <c r="BH59" s="235" t="str">
        <f t="shared" si="132"/>
        <v/>
      </c>
      <c r="BI59" s="75">
        <f t="shared" si="133"/>
        <v>0</v>
      </c>
      <c r="BJ59" s="15">
        <f t="shared" si="134"/>
        <v>0</v>
      </c>
      <c r="BK59" s="15">
        <f t="shared" ref="BK59:BK98" si="187">BJ59-BI59</f>
        <v>0</v>
      </c>
      <c r="BL59" s="18">
        <f t="shared" si="135"/>
        <v>0</v>
      </c>
      <c r="BM59" s="78">
        <f t="shared" si="136"/>
        <v>0</v>
      </c>
      <c r="BN59" s="14">
        <f t="shared" si="137"/>
        <v>0</v>
      </c>
      <c r="BO59" s="14">
        <f t="shared" si="138"/>
        <v>0</v>
      </c>
      <c r="BP59" s="15">
        <f t="shared" ref="BP59:BP98" si="188">BN59-BO59</f>
        <v>0</v>
      </c>
      <c r="BQ59" s="73">
        <f t="shared" si="139"/>
        <v>0</v>
      </c>
      <c r="BR59" s="13"/>
      <c r="BS59" s="75">
        <f t="shared" si="106"/>
        <v>0</v>
      </c>
      <c r="BT59" s="15">
        <f t="shared" si="107"/>
        <v>0</v>
      </c>
      <c r="BU59" s="15">
        <f t="shared" si="108"/>
        <v>0</v>
      </c>
      <c r="BV59" s="17">
        <f t="shared" si="109"/>
        <v>0</v>
      </c>
      <c r="BW59" s="72">
        <f t="shared" si="140"/>
        <v>0</v>
      </c>
      <c r="BX59" s="14">
        <f t="shared" si="141"/>
        <v>0</v>
      </c>
      <c r="BY59" s="15">
        <f t="shared" ref="BY59:BY98" si="189">BW59-BX59</f>
        <v>0</v>
      </c>
      <c r="BZ59" s="14">
        <f t="shared" si="98"/>
        <v>0</v>
      </c>
      <c r="CA59" s="73">
        <f t="shared" si="142"/>
        <v>0</v>
      </c>
      <c r="CB59" s="192" t="e">
        <f t="shared" si="143"/>
        <v>#DIV/0!</v>
      </c>
      <c r="CC59" s="72" t="e">
        <f t="shared" si="144"/>
        <v>#DIV/0!</v>
      </c>
      <c r="CD59" s="14">
        <f t="shared" si="145"/>
        <v>0</v>
      </c>
      <c r="CE59" s="19">
        <f t="shared" si="183"/>
        <v>0</v>
      </c>
      <c r="CF59" s="19">
        <f t="shared" si="146"/>
        <v>0</v>
      </c>
      <c r="CG59" s="20" t="e">
        <f t="shared" si="147"/>
        <v>#DIV/0!</v>
      </c>
      <c r="CH59" s="20" t="e">
        <f t="shared" si="148"/>
        <v>#DIV/0!</v>
      </c>
      <c r="CI59" s="83" t="e">
        <f t="shared" ref="CI59:CI98" si="190">IF(SUM(CC59:CD59)=0,"",TEXT(CE59,IF(CE59&lt;0.005,"0.0%","0%"))&amp;" of "&amp;TEXT(CC$8,"0%"))</f>
        <v>#DIV/0!</v>
      </c>
      <c r="CJ59" s="77" t="e">
        <f t="shared" si="149"/>
        <v>#DIV/0!</v>
      </c>
      <c r="CK59" s="2" t="e">
        <f t="shared" si="101"/>
        <v>#DIV/0!</v>
      </c>
      <c r="CL59" s="2" t="str">
        <f t="shared" si="150"/>
        <v/>
      </c>
      <c r="CM59" s="231" t="e">
        <f t="shared" si="102"/>
        <v>#DIV/0!</v>
      </c>
      <c r="CN59" s="233" t="e">
        <f t="shared" si="103"/>
        <v>#DIV/0!</v>
      </c>
      <c r="CO59" s="233">
        <f t="shared" si="104"/>
        <v>0</v>
      </c>
      <c r="CP59" s="2">
        <f t="shared" si="151"/>
        <v>1</v>
      </c>
      <c r="CQ59" s="2">
        <f t="shared" si="152"/>
        <v>1</v>
      </c>
      <c r="CR59" s="2" t="str">
        <f t="shared" si="153"/>
        <v/>
      </c>
      <c r="CS59" s="2">
        <f t="shared" si="154"/>
        <v>0</v>
      </c>
      <c r="CT59" s="191">
        <f t="shared" si="155"/>
        <v>0</v>
      </c>
      <c r="CU59" s="2" t="str">
        <f t="shared" si="156"/>
        <v>OK</v>
      </c>
      <c r="CV59" s="232">
        <f t="shared" si="157"/>
        <v>0.05</v>
      </c>
      <c r="CW59" s="191" t="e">
        <f t="shared" si="158"/>
        <v>#DIV/0!</v>
      </c>
      <c r="CX59" s="191" t="e">
        <f t="shared" si="159"/>
        <v>#DIV/0!</v>
      </c>
      <c r="CY59" s="191" t="e">
        <f t="shared" si="160"/>
        <v>#DIV/0!</v>
      </c>
      <c r="CZ59" s="191" t="e">
        <f t="shared" si="161"/>
        <v>#DIV/0!</v>
      </c>
      <c r="DA59" s="191">
        <f t="shared" si="162"/>
        <v>1</v>
      </c>
      <c r="DB59" s="191">
        <f t="shared" si="163"/>
        <v>0</v>
      </c>
      <c r="DC59" s="2" t="str">
        <f t="shared" si="164"/>
        <v>Soft</v>
      </c>
      <c r="DD59" s="2"/>
      <c r="DE59" s="2">
        <f t="shared" si="165"/>
        <v>0</v>
      </c>
      <c r="DF59" s="191" t="e">
        <f t="shared" si="166"/>
        <v>#DIV/0!</v>
      </c>
      <c r="DG59" s="191" t="e">
        <f t="shared" si="167"/>
        <v>#DIV/0!</v>
      </c>
      <c r="DH59" s="191" t="e">
        <f t="shared" si="168"/>
        <v>#DIV/0!</v>
      </c>
      <c r="DI59" s="191" t="e">
        <f t="shared" si="169"/>
        <v>#DIV/0!</v>
      </c>
      <c r="DJ59" s="191" t="e">
        <f t="shared" si="105"/>
        <v>#DIV/0!</v>
      </c>
      <c r="DK59" s="2"/>
      <c r="DL59" s="2"/>
      <c r="DM59" s="2"/>
      <c r="DN59" s="2">
        <f t="shared" si="170"/>
        <v>1</v>
      </c>
      <c r="DO59" s="191" t="e">
        <f t="shared" si="171"/>
        <v>#DIV/0!</v>
      </c>
      <c r="DP59" s="191" t="e">
        <f t="shared" si="172"/>
        <v>#DIV/0!</v>
      </c>
      <c r="DQ59" s="191" t="e">
        <f t="shared" si="173"/>
        <v>#DIV/0!</v>
      </c>
      <c r="DR59" s="191" t="e">
        <f t="shared" si="174"/>
        <v>#DIV/0!</v>
      </c>
      <c r="DS59" s="191" t="e">
        <f t="shared" si="175"/>
        <v>#DIV/0!</v>
      </c>
      <c r="DT59" s="191" t="e">
        <f t="shared" si="176"/>
        <v>#DIV/0!</v>
      </c>
      <c r="DU59" s="191">
        <f t="shared" si="177"/>
        <v>0</v>
      </c>
      <c r="DV59" s="2"/>
      <c r="DW59" s="2" t="b">
        <f t="shared" si="178"/>
        <v>1</v>
      </c>
      <c r="DX59" s="2" t="b">
        <f t="shared" si="179"/>
        <v>1</v>
      </c>
      <c r="DY59" s="2" t="b">
        <f t="shared" si="180"/>
        <v>1</v>
      </c>
      <c r="DZ59" s="2" t="b">
        <f t="shared" si="181"/>
        <v>1</v>
      </c>
      <c r="EA59" s="2" t="b">
        <f t="shared" si="182"/>
        <v>1</v>
      </c>
      <c r="EB59"/>
    </row>
    <row r="60" spans="1:132" s="108" customFormat="1" ht="18.5" hidden="1" thickBot="1" x14ac:dyDescent="0.45">
      <c r="A60" s="109"/>
      <c r="B60" s="88" t="str">
        <f t="shared" si="80"/>
        <v>-</v>
      </c>
      <c r="C60" s="118">
        <v>41</v>
      </c>
      <c r="D60" s="794"/>
      <c r="E60" s="795"/>
      <c r="F60" s="566"/>
      <c r="G60" s="567"/>
      <c r="H60" s="568"/>
      <c r="I60" s="558"/>
      <c r="J60" s="559"/>
      <c r="K60" s="560"/>
      <c r="L60" s="560"/>
      <c r="M60" s="560"/>
      <c r="N60" s="561"/>
      <c r="O60" s="562"/>
      <c r="P60" s="563"/>
      <c r="Q60" s="564"/>
      <c r="R60" s="565"/>
      <c r="S60" s="112" t="str">
        <f t="shared" si="110"/>
        <v/>
      </c>
      <c r="T60" s="113" t="str">
        <f t="shared" si="111"/>
        <v/>
      </c>
      <c r="U60" s="114">
        <f t="shared" si="112"/>
        <v>0</v>
      </c>
      <c r="V60" s="117" t="str">
        <f t="shared" si="113"/>
        <v/>
      </c>
      <c r="W60" s="234" t="str">
        <f t="shared" si="114"/>
        <v/>
      </c>
      <c r="X60" s="115">
        <f t="shared" si="184"/>
        <v>0</v>
      </c>
      <c r="Y60" s="116" t="str">
        <f t="shared" si="115"/>
        <v/>
      </c>
      <c r="Z60" s="111"/>
      <c r="AA60" s="2"/>
      <c r="AB60" s="2">
        <v>41</v>
      </c>
      <c r="AC60" s="22" t="str">
        <f t="shared" si="185"/>
        <v>-</v>
      </c>
      <c r="AD60" s="22">
        <f t="shared" si="186"/>
        <v>0</v>
      </c>
      <c r="AE60" s="22">
        <f t="shared" si="82"/>
        <v>0</v>
      </c>
      <c r="AF60" s="22"/>
      <c r="AG60" s="21">
        <f t="shared" si="83"/>
        <v>0</v>
      </c>
      <c r="AH60" s="6">
        <f t="shared" si="116"/>
        <v>0</v>
      </c>
      <c r="AI60" s="7">
        <f>IF(SUM(AH60:AH$99)=0,0,F60&gt;0)</f>
        <v>0</v>
      </c>
      <c r="AJ60" s="6">
        <f t="shared" si="117"/>
        <v>0</v>
      </c>
      <c r="AK60" s="7">
        <f>IF(SUM(AH60:AH$99)=0,0,AND(AI60=FALSE,AJ60=0,SUM(AJ60:AJ$99)&gt;0))</f>
        <v>0</v>
      </c>
      <c r="AL60" s="7">
        <f t="shared" si="84"/>
        <v>0</v>
      </c>
      <c r="AM60" s="7">
        <f t="shared" si="118"/>
        <v>0</v>
      </c>
      <c r="AN60" s="9">
        <f t="shared" si="119"/>
        <v>0</v>
      </c>
      <c r="AO60" s="9">
        <f t="shared" si="120"/>
        <v>0</v>
      </c>
      <c r="AP60" s="486">
        <f t="shared" si="121"/>
        <v>0</v>
      </c>
      <c r="AQ60" s="486">
        <f t="shared" si="85"/>
        <v>0</v>
      </c>
      <c r="AR60" s="7">
        <f t="shared" si="122"/>
        <v>0</v>
      </c>
      <c r="AS60" s="7" t="str">
        <f t="shared" si="86"/>
        <v/>
      </c>
      <c r="AT60" s="7">
        <f t="shared" si="123"/>
        <v>0</v>
      </c>
      <c r="AU60" s="485">
        <f t="shared" si="87"/>
        <v>0</v>
      </c>
      <c r="AV60" s="7">
        <f t="shared" si="124"/>
        <v>0</v>
      </c>
      <c r="AW60" s="7">
        <f t="shared" si="125"/>
        <v>0</v>
      </c>
      <c r="AX60" s="7">
        <f t="shared" si="126"/>
        <v>0</v>
      </c>
      <c r="AY60" s="484">
        <f t="shared" si="88"/>
        <v>0</v>
      </c>
      <c r="AZ60" s="7">
        <f t="shared" si="127"/>
        <v>0</v>
      </c>
      <c r="BA60" s="483">
        <f t="shared" si="89"/>
        <v>0</v>
      </c>
      <c r="BB60" s="487" t="str">
        <f t="shared" si="90"/>
        <v/>
      </c>
      <c r="BC60" s="487" t="str">
        <f t="shared" si="91"/>
        <v/>
      </c>
      <c r="BD60" s="7">
        <f t="shared" si="128"/>
        <v>0</v>
      </c>
      <c r="BE60" s="7">
        <f t="shared" si="129"/>
        <v>0</v>
      </c>
      <c r="BF60" s="7">
        <f t="shared" si="130"/>
        <v>0</v>
      </c>
      <c r="BG60" s="8" t="b">
        <f t="shared" si="131"/>
        <v>0</v>
      </c>
      <c r="BH60" s="235" t="str">
        <f t="shared" si="132"/>
        <v/>
      </c>
      <c r="BI60" s="75">
        <f t="shared" si="133"/>
        <v>0</v>
      </c>
      <c r="BJ60" s="15">
        <f t="shared" si="134"/>
        <v>0</v>
      </c>
      <c r="BK60" s="15">
        <f t="shared" si="187"/>
        <v>0</v>
      </c>
      <c r="BL60" s="18">
        <f t="shared" si="135"/>
        <v>0</v>
      </c>
      <c r="BM60" s="78">
        <f t="shared" si="136"/>
        <v>0</v>
      </c>
      <c r="BN60" s="14">
        <f t="shared" si="137"/>
        <v>0</v>
      </c>
      <c r="BO60" s="14">
        <f t="shared" si="138"/>
        <v>0</v>
      </c>
      <c r="BP60" s="15">
        <f t="shared" si="188"/>
        <v>0</v>
      </c>
      <c r="BQ60" s="73">
        <f t="shared" si="139"/>
        <v>0</v>
      </c>
      <c r="BR60" s="13"/>
      <c r="BS60" s="75">
        <f t="shared" si="106"/>
        <v>0</v>
      </c>
      <c r="BT60" s="15">
        <f t="shared" si="107"/>
        <v>0</v>
      </c>
      <c r="BU60" s="15">
        <f t="shared" si="108"/>
        <v>0</v>
      </c>
      <c r="BV60" s="17">
        <f t="shared" si="109"/>
        <v>0</v>
      </c>
      <c r="BW60" s="72">
        <f t="shared" si="140"/>
        <v>0</v>
      </c>
      <c r="BX60" s="14">
        <f t="shared" si="141"/>
        <v>0</v>
      </c>
      <c r="BY60" s="15">
        <f t="shared" si="189"/>
        <v>0</v>
      </c>
      <c r="BZ60" s="14">
        <f t="shared" si="98"/>
        <v>0</v>
      </c>
      <c r="CA60" s="73">
        <f t="shared" si="142"/>
        <v>0</v>
      </c>
      <c r="CB60" s="192" t="e">
        <f t="shared" si="143"/>
        <v>#DIV/0!</v>
      </c>
      <c r="CC60" s="72" t="e">
        <f t="shared" si="144"/>
        <v>#DIV/0!</v>
      </c>
      <c r="CD60" s="14">
        <f t="shared" si="145"/>
        <v>0</v>
      </c>
      <c r="CE60" s="19">
        <f t="shared" si="183"/>
        <v>0</v>
      </c>
      <c r="CF60" s="19">
        <f t="shared" si="146"/>
        <v>0</v>
      </c>
      <c r="CG60" s="20" t="e">
        <f t="shared" si="147"/>
        <v>#DIV/0!</v>
      </c>
      <c r="CH60" s="20" t="e">
        <f t="shared" si="148"/>
        <v>#DIV/0!</v>
      </c>
      <c r="CI60" s="83" t="e">
        <f t="shared" si="190"/>
        <v>#DIV/0!</v>
      </c>
      <c r="CJ60" s="77" t="e">
        <f t="shared" si="149"/>
        <v>#DIV/0!</v>
      </c>
      <c r="CK60" s="2" t="e">
        <f t="shared" si="101"/>
        <v>#DIV/0!</v>
      </c>
      <c r="CL60" s="2" t="str">
        <f t="shared" si="150"/>
        <v/>
      </c>
      <c r="CM60" s="231" t="e">
        <f t="shared" si="102"/>
        <v>#DIV/0!</v>
      </c>
      <c r="CN60" s="233" t="e">
        <f t="shared" si="103"/>
        <v>#DIV/0!</v>
      </c>
      <c r="CO60" s="233">
        <f t="shared" si="104"/>
        <v>0</v>
      </c>
      <c r="CP60" s="2">
        <f t="shared" si="151"/>
        <v>1</v>
      </c>
      <c r="CQ60" s="2">
        <f t="shared" si="152"/>
        <v>1</v>
      </c>
      <c r="CR60" s="2" t="str">
        <f t="shared" si="153"/>
        <v/>
      </c>
      <c r="CS60" s="2">
        <f t="shared" si="154"/>
        <v>0</v>
      </c>
      <c r="CT60" s="191">
        <f t="shared" si="155"/>
        <v>0</v>
      </c>
      <c r="CU60" s="2" t="str">
        <f t="shared" si="156"/>
        <v>OK</v>
      </c>
      <c r="CV60" s="232">
        <f t="shared" si="157"/>
        <v>0.05</v>
      </c>
      <c r="CW60" s="191" t="e">
        <f t="shared" si="158"/>
        <v>#DIV/0!</v>
      </c>
      <c r="CX60" s="191" t="e">
        <f t="shared" si="159"/>
        <v>#DIV/0!</v>
      </c>
      <c r="CY60" s="191" t="e">
        <f t="shared" si="160"/>
        <v>#DIV/0!</v>
      </c>
      <c r="CZ60" s="191" t="e">
        <f t="shared" si="161"/>
        <v>#DIV/0!</v>
      </c>
      <c r="DA60" s="191">
        <f t="shared" si="162"/>
        <v>1</v>
      </c>
      <c r="DB60" s="191">
        <f t="shared" si="163"/>
        <v>0</v>
      </c>
      <c r="DC60" s="2" t="str">
        <f t="shared" si="164"/>
        <v>Soft</v>
      </c>
      <c r="DD60" s="2"/>
      <c r="DE60" s="2">
        <f t="shared" si="165"/>
        <v>0</v>
      </c>
      <c r="DF60" s="191" t="e">
        <f t="shared" si="166"/>
        <v>#DIV/0!</v>
      </c>
      <c r="DG60" s="191" t="e">
        <f t="shared" si="167"/>
        <v>#DIV/0!</v>
      </c>
      <c r="DH60" s="191" t="e">
        <f t="shared" si="168"/>
        <v>#DIV/0!</v>
      </c>
      <c r="DI60" s="191" t="e">
        <f t="shared" si="169"/>
        <v>#DIV/0!</v>
      </c>
      <c r="DJ60" s="191" t="e">
        <f t="shared" si="105"/>
        <v>#DIV/0!</v>
      </c>
      <c r="DK60" s="2"/>
      <c r="DL60" s="2"/>
      <c r="DM60" s="2"/>
      <c r="DN60" s="2">
        <f t="shared" si="170"/>
        <v>1</v>
      </c>
      <c r="DO60" s="191" t="e">
        <f t="shared" si="171"/>
        <v>#DIV/0!</v>
      </c>
      <c r="DP60" s="191" t="e">
        <f t="shared" si="172"/>
        <v>#DIV/0!</v>
      </c>
      <c r="DQ60" s="191" t="e">
        <f t="shared" si="173"/>
        <v>#DIV/0!</v>
      </c>
      <c r="DR60" s="191" t="e">
        <f t="shared" si="174"/>
        <v>#DIV/0!</v>
      </c>
      <c r="DS60" s="191" t="e">
        <f t="shared" si="175"/>
        <v>#DIV/0!</v>
      </c>
      <c r="DT60" s="191" t="e">
        <f t="shared" si="176"/>
        <v>#DIV/0!</v>
      </c>
      <c r="DU60" s="191">
        <f t="shared" si="177"/>
        <v>0</v>
      </c>
      <c r="DV60" s="2"/>
      <c r="DW60" s="2" t="b">
        <f t="shared" si="178"/>
        <v>1</v>
      </c>
      <c r="DX60" s="2" t="b">
        <f t="shared" si="179"/>
        <v>1</v>
      </c>
      <c r="DY60" s="2" t="b">
        <f t="shared" si="180"/>
        <v>1</v>
      </c>
      <c r="DZ60" s="2" t="b">
        <f t="shared" si="181"/>
        <v>1</v>
      </c>
      <c r="EA60" s="2" t="b">
        <f t="shared" si="182"/>
        <v>1</v>
      </c>
      <c r="EB60"/>
    </row>
    <row r="61" spans="1:132" s="108" customFormat="1" ht="18.5" hidden="1" thickBot="1" x14ac:dyDescent="0.45">
      <c r="A61" s="109"/>
      <c r="B61" s="88" t="str">
        <f t="shared" si="80"/>
        <v>-</v>
      </c>
      <c r="C61" s="118">
        <v>42</v>
      </c>
      <c r="D61" s="794"/>
      <c r="E61" s="795"/>
      <c r="F61" s="566"/>
      <c r="G61" s="567"/>
      <c r="H61" s="568"/>
      <c r="I61" s="558"/>
      <c r="J61" s="559"/>
      <c r="K61" s="560"/>
      <c r="L61" s="560"/>
      <c r="M61" s="560"/>
      <c r="N61" s="561"/>
      <c r="O61" s="562"/>
      <c r="P61" s="563"/>
      <c r="Q61" s="564"/>
      <c r="R61" s="565"/>
      <c r="S61" s="112" t="str">
        <f t="shared" si="110"/>
        <v/>
      </c>
      <c r="T61" s="113" t="str">
        <f t="shared" si="111"/>
        <v/>
      </c>
      <c r="U61" s="114">
        <f t="shared" si="112"/>
        <v>0</v>
      </c>
      <c r="V61" s="117" t="str">
        <f t="shared" si="113"/>
        <v/>
      </c>
      <c r="W61" s="234" t="str">
        <f t="shared" si="114"/>
        <v/>
      </c>
      <c r="X61" s="115">
        <f t="shared" si="184"/>
        <v>0</v>
      </c>
      <c r="Y61" s="116" t="str">
        <f t="shared" si="115"/>
        <v/>
      </c>
      <c r="Z61" s="111"/>
      <c r="AA61" s="2"/>
      <c r="AB61" s="2">
        <v>42</v>
      </c>
      <c r="AC61" s="22" t="str">
        <f t="shared" si="185"/>
        <v>-</v>
      </c>
      <c r="AD61" s="22">
        <f t="shared" si="186"/>
        <v>0</v>
      </c>
      <c r="AE61" s="22">
        <f t="shared" si="82"/>
        <v>0</v>
      </c>
      <c r="AF61" s="22"/>
      <c r="AG61" s="21">
        <f t="shared" si="83"/>
        <v>0</v>
      </c>
      <c r="AH61" s="6">
        <f t="shared" si="116"/>
        <v>0</v>
      </c>
      <c r="AI61" s="7">
        <f>IF(SUM(AH61:AH$99)=0,0,F61&gt;0)</f>
        <v>0</v>
      </c>
      <c r="AJ61" s="6">
        <f t="shared" si="117"/>
        <v>0</v>
      </c>
      <c r="AK61" s="7">
        <f>IF(SUM(AH61:AH$99)=0,0,AND(AI61=FALSE,AJ61=0,SUM(AJ61:AJ$99)&gt;0))</f>
        <v>0</v>
      </c>
      <c r="AL61" s="7">
        <f t="shared" si="84"/>
        <v>0</v>
      </c>
      <c r="AM61" s="7">
        <f t="shared" si="118"/>
        <v>0</v>
      </c>
      <c r="AN61" s="9">
        <f t="shared" si="119"/>
        <v>0</v>
      </c>
      <c r="AO61" s="9">
        <f t="shared" si="120"/>
        <v>0</v>
      </c>
      <c r="AP61" s="486">
        <f t="shared" si="121"/>
        <v>0</v>
      </c>
      <c r="AQ61" s="486">
        <f t="shared" si="85"/>
        <v>0</v>
      </c>
      <c r="AR61" s="7">
        <f t="shared" si="122"/>
        <v>0</v>
      </c>
      <c r="AS61" s="7" t="str">
        <f t="shared" si="86"/>
        <v/>
      </c>
      <c r="AT61" s="7">
        <f t="shared" si="123"/>
        <v>0</v>
      </c>
      <c r="AU61" s="485">
        <f t="shared" si="87"/>
        <v>0</v>
      </c>
      <c r="AV61" s="7">
        <f t="shared" si="124"/>
        <v>0</v>
      </c>
      <c r="AW61" s="7">
        <f t="shared" si="125"/>
        <v>0</v>
      </c>
      <c r="AX61" s="7">
        <f t="shared" si="126"/>
        <v>0</v>
      </c>
      <c r="AY61" s="484">
        <f t="shared" si="88"/>
        <v>0</v>
      </c>
      <c r="AZ61" s="7">
        <f t="shared" si="127"/>
        <v>0</v>
      </c>
      <c r="BA61" s="483">
        <f t="shared" si="89"/>
        <v>0</v>
      </c>
      <c r="BB61" s="487" t="str">
        <f t="shared" si="90"/>
        <v/>
      </c>
      <c r="BC61" s="487" t="str">
        <f t="shared" si="91"/>
        <v/>
      </c>
      <c r="BD61" s="7">
        <f t="shared" si="128"/>
        <v>0</v>
      </c>
      <c r="BE61" s="7">
        <f t="shared" si="129"/>
        <v>0</v>
      </c>
      <c r="BF61" s="7">
        <f t="shared" si="130"/>
        <v>0</v>
      </c>
      <c r="BG61" s="8" t="b">
        <f t="shared" si="131"/>
        <v>0</v>
      </c>
      <c r="BH61" s="235" t="str">
        <f t="shared" si="132"/>
        <v/>
      </c>
      <c r="BI61" s="75">
        <f t="shared" si="133"/>
        <v>0</v>
      </c>
      <c r="BJ61" s="15">
        <f t="shared" si="134"/>
        <v>0</v>
      </c>
      <c r="BK61" s="15">
        <f t="shared" si="187"/>
        <v>0</v>
      </c>
      <c r="BL61" s="18">
        <f t="shared" si="135"/>
        <v>0</v>
      </c>
      <c r="BM61" s="78">
        <f t="shared" si="136"/>
        <v>0</v>
      </c>
      <c r="BN61" s="14">
        <f t="shared" si="137"/>
        <v>0</v>
      </c>
      <c r="BO61" s="14">
        <f t="shared" si="138"/>
        <v>0</v>
      </c>
      <c r="BP61" s="15">
        <f t="shared" si="188"/>
        <v>0</v>
      </c>
      <c r="BQ61" s="73">
        <f t="shared" si="139"/>
        <v>0</v>
      </c>
      <c r="BR61" s="13"/>
      <c r="BS61" s="75">
        <f t="shared" si="106"/>
        <v>0</v>
      </c>
      <c r="BT61" s="15">
        <f t="shared" si="107"/>
        <v>0</v>
      </c>
      <c r="BU61" s="15">
        <f t="shared" si="108"/>
        <v>0</v>
      </c>
      <c r="BV61" s="17">
        <f t="shared" si="109"/>
        <v>0</v>
      </c>
      <c r="BW61" s="72">
        <f t="shared" si="140"/>
        <v>0</v>
      </c>
      <c r="BX61" s="14">
        <f t="shared" si="141"/>
        <v>0</v>
      </c>
      <c r="BY61" s="15">
        <f t="shared" si="189"/>
        <v>0</v>
      </c>
      <c r="BZ61" s="14">
        <f t="shared" si="98"/>
        <v>0</v>
      </c>
      <c r="CA61" s="73">
        <f t="shared" si="142"/>
        <v>0</v>
      </c>
      <c r="CB61" s="192" t="e">
        <f t="shared" si="143"/>
        <v>#DIV/0!</v>
      </c>
      <c r="CC61" s="72" t="e">
        <f t="shared" si="144"/>
        <v>#DIV/0!</v>
      </c>
      <c r="CD61" s="14">
        <f t="shared" si="145"/>
        <v>0</v>
      </c>
      <c r="CE61" s="19">
        <f t="shared" si="183"/>
        <v>0</v>
      </c>
      <c r="CF61" s="19">
        <f t="shared" si="146"/>
        <v>0</v>
      </c>
      <c r="CG61" s="20" t="e">
        <f t="shared" si="147"/>
        <v>#DIV/0!</v>
      </c>
      <c r="CH61" s="20" t="e">
        <f t="shared" si="148"/>
        <v>#DIV/0!</v>
      </c>
      <c r="CI61" s="83" t="e">
        <f t="shared" si="190"/>
        <v>#DIV/0!</v>
      </c>
      <c r="CJ61" s="77" t="e">
        <f t="shared" si="149"/>
        <v>#DIV/0!</v>
      </c>
      <c r="CK61" s="2" t="e">
        <f t="shared" si="101"/>
        <v>#DIV/0!</v>
      </c>
      <c r="CL61" s="2" t="str">
        <f t="shared" si="150"/>
        <v/>
      </c>
      <c r="CM61" s="231" t="e">
        <f t="shared" si="102"/>
        <v>#DIV/0!</v>
      </c>
      <c r="CN61" s="233" t="e">
        <f t="shared" si="103"/>
        <v>#DIV/0!</v>
      </c>
      <c r="CO61" s="233">
        <f t="shared" si="104"/>
        <v>0</v>
      </c>
      <c r="CP61" s="2">
        <f t="shared" si="151"/>
        <v>1</v>
      </c>
      <c r="CQ61" s="2">
        <f t="shared" si="152"/>
        <v>1</v>
      </c>
      <c r="CR61" s="2" t="str">
        <f t="shared" si="153"/>
        <v/>
      </c>
      <c r="CS61" s="2">
        <f t="shared" si="154"/>
        <v>0</v>
      </c>
      <c r="CT61" s="191">
        <f t="shared" si="155"/>
        <v>0</v>
      </c>
      <c r="CU61" s="2" t="str">
        <f t="shared" si="156"/>
        <v>OK</v>
      </c>
      <c r="CV61" s="232">
        <f t="shared" si="157"/>
        <v>0.05</v>
      </c>
      <c r="CW61" s="191" t="e">
        <f t="shared" si="158"/>
        <v>#DIV/0!</v>
      </c>
      <c r="CX61" s="191" t="e">
        <f t="shared" si="159"/>
        <v>#DIV/0!</v>
      </c>
      <c r="CY61" s="191" t="e">
        <f t="shared" si="160"/>
        <v>#DIV/0!</v>
      </c>
      <c r="CZ61" s="191" t="e">
        <f t="shared" si="161"/>
        <v>#DIV/0!</v>
      </c>
      <c r="DA61" s="191">
        <f t="shared" si="162"/>
        <v>1</v>
      </c>
      <c r="DB61" s="191">
        <f t="shared" si="163"/>
        <v>0</v>
      </c>
      <c r="DC61" s="2" t="str">
        <f t="shared" si="164"/>
        <v>Soft</v>
      </c>
      <c r="DD61" s="2"/>
      <c r="DE61" s="2">
        <f t="shared" si="165"/>
        <v>0</v>
      </c>
      <c r="DF61" s="191" t="e">
        <f t="shared" si="166"/>
        <v>#DIV/0!</v>
      </c>
      <c r="DG61" s="191" t="e">
        <f t="shared" si="167"/>
        <v>#DIV/0!</v>
      </c>
      <c r="DH61" s="191" t="e">
        <f t="shared" si="168"/>
        <v>#DIV/0!</v>
      </c>
      <c r="DI61" s="191" t="e">
        <f t="shared" si="169"/>
        <v>#DIV/0!</v>
      </c>
      <c r="DJ61" s="191" t="e">
        <f t="shared" si="105"/>
        <v>#DIV/0!</v>
      </c>
      <c r="DK61" s="2"/>
      <c r="DL61" s="2"/>
      <c r="DM61" s="2"/>
      <c r="DN61" s="2">
        <f t="shared" si="170"/>
        <v>1</v>
      </c>
      <c r="DO61" s="191" t="e">
        <f t="shared" si="171"/>
        <v>#DIV/0!</v>
      </c>
      <c r="DP61" s="191" t="e">
        <f t="shared" si="172"/>
        <v>#DIV/0!</v>
      </c>
      <c r="DQ61" s="191" t="e">
        <f t="shared" si="173"/>
        <v>#DIV/0!</v>
      </c>
      <c r="DR61" s="191" t="e">
        <f t="shared" si="174"/>
        <v>#DIV/0!</v>
      </c>
      <c r="DS61" s="191" t="e">
        <f t="shared" si="175"/>
        <v>#DIV/0!</v>
      </c>
      <c r="DT61" s="191" t="e">
        <f t="shared" si="176"/>
        <v>#DIV/0!</v>
      </c>
      <c r="DU61" s="191">
        <f t="shared" si="177"/>
        <v>0</v>
      </c>
      <c r="DV61" s="2"/>
      <c r="DW61" s="2" t="b">
        <f t="shared" si="178"/>
        <v>1</v>
      </c>
      <c r="DX61" s="2" t="b">
        <f t="shared" si="179"/>
        <v>1</v>
      </c>
      <c r="DY61" s="2" t="b">
        <f t="shared" si="180"/>
        <v>1</v>
      </c>
      <c r="DZ61" s="2" t="b">
        <f t="shared" si="181"/>
        <v>1</v>
      </c>
      <c r="EA61" s="2" t="b">
        <f t="shared" si="182"/>
        <v>1</v>
      </c>
      <c r="EB61"/>
    </row>
    <row r="62" spans="1:132" s="108" customFormat="1" ht="18.5" hidden="1" thickBot="1" x14ac:dyDescent="0.45">
      <c r="A62" s="109"/>
      <c r="B62" s="88" t="str">
        <f t="shared" si="80"/>
        <v>-</v>
      </c>
      <c r="C62" s="118">
        <v>43</v>
      </c>
      <c r="D62" s="794"/>
      <c r="E62" s="795"/>
      <c r="F62" s="566"/>
      <c r="G62" s="567"/>
      <c r="H62" s="568"/>
      <c r="I62" s="558"/>
      <c r="J62" s="559"/>
      <c r="K62" s="560"/>
      <c r="L62" s="560"/>
      <c r="M62" s="560"/>
      <c r="N62" s="561"/>
      <c r="O62" s="562"/>
      <c r="P62" s="563"/>
      <c r="Q62" s="564"/>
      <c r="R62" s="565"/>
      <c r="S62" s="112" t="str">
        <f t="shared" si="110"/>
        <v/>
      </c>
      <c r="T62" s="113" t="str">
        <f t="shared" si="111"/>
        <v/>
      </c>
      <c r="U62" s="114">
        <f t="shared" si="112"/>
        <v>0</v>
      </c>
      <c r="V62" s="117" t="str">
        <f t="shared" si="113"/>
        <v/>
      </c>
      <c r="W62" s="234" t="str">
        <f t="shared" si="114"/>
        <v/>
      </c>
      <c r="X62" s="115">
        <f t="shared" si="184"/>
        <v>0</v>
      </c>
      <c r="Y62" s="116" t="str">
        <f t="shared" si="115"/>
        <v/>
      </c>
      <c r="Z62" s="111"/>
      <c r="AA62" s="2"/>
      <c r="AB62" s="2">
        <v>43</v>
      </c>
      <c r="AC62" s="22" t="str">
        <f t="shared" si="185"/>
        <v>-</v>
      </c>
      <c r="AD62" s="22">
        <f t="shared" si="186"/>
        <v>0</v>
      </c>
      <c r="AE62" s="22">
        <f t="shared" si="82"/>
        <v>0</v>
      </c>
      <c r="AF62" s="22"/>
      <c r="AG62" s="21">
        <f t="shared" si="83"/>
        <v>0</v>
      </c>
      <c r="AH62" s="6">
        <f t="shared" si="116"/>
        <v>0</v>
      </c>
      <c r="AI62" s="7">
        <f>IF(SUM(AH62:AH$99)=0,0,F62&gt;0)</f>
        <v>0</v>
      </c>
      <c r="AJ62" s="6">
        <f t="shared" si="117"/>
        <v>0</v>
      </c>
      <c r="AK62" s="7">
        <f>IF(SUM(AH62:AH$99)=0,0,AND(AI62=FALSE,AJ62=0,SUM(AJ62:AJ$99)&gt;0))</f>
        <v>0</v>
      </c>
      <c r="AL62" s="7">
        <f t="shared" si="84"/>
        <v>0</v>
      </c>
      <c r="AM62" s="7">
        <f t="shared" si="118"/>
        <v>0</v>
      </c>
      <c r="AN62" s="9">
        <f t="shared" si="119"/>
        <v>0</v>
      </c>
      <c r="AO62" s="9">
        <f t="shared" si="120"/>
        <v>0</v>
      </c>
      <c r="AP62" s="486">
        <f t="shared" si="121"/>
        <v>0</v>
      </c>
      <c r="AQ62" s="486">
        <f t="shared" si="85"/>
        <v>0</v>
      </c>
      <c r="AR62" s="7">
        <f t="shared" si="122"/>
        <v>0</v>
      </c>
      <c r="AS62" s="7" t="str">
        <f t="shared" si="86"/>
        <v/>
      </c>
      <c r="AT62" s="7">
        <f t="shared" si="123"/>
        <v>0</v>
      </c>
      <c r="AU62" s="485">
        <f t="shared" si="87"/>
        <v>0</v>
      </c>
      <c r="AV62" s="7">
        <f t="shared" si="124"/>
        <v>0</v>
      </c>
      <c r="AW62" s="7">
        <f t="shared" si="125"/>
        <v>0</v>
      </c>
      <c r="AX62" s="7">
        <f t="shared" si="126"/>
        <v>0</v>
      </c>
      <c r="AY62" s="484">
        <f t="shared" si="88"/>
        <v>0</v>
      </c>
      <c r="AZ62" s="7">
        <f t="shared" si="127"/>
        <v>0</v>
      </c>
      <c r="BA62" s="483">
        <f t="shared" si="89"/>
        <v>0</v>
      </c>
      <c r="BB62" s="487" t="str">
        <f t="shared" si="90"/>
        <v/>
      </c>
      <c r="BC62" s="487" t="str">
        <f t="shared" si="91"/>
        <v/>
      </c>
      <c r="BD62" s="7">
        <f t="shared" si="128"/>
        <v>0</v>
      </c>
      <c r="BE62" s="7">
        <f t="shared" si="129"/>
        <v>0</v>
      </c>
      <c r="BF62" s="7">
        <f t="shared" si="130"/>
        <v>0</v>
      </c>
      <c r="BG62" s="8" t="b">
        <f t="shared" si="131"/>
        <v>0</v>
      </c>
      <c r="BH62" s="235" t="str">
        <f t="shared" si="132"/>
        <v/>
      </c>
      <c r="BI62" s="75">
        <f t="shared" si="133"/>
        <v>0</v>
      </c>
      <c r="BJ62" s="15">
        <f t="shared" si="134"/>
        <v>0</v>
      </c>
      <c r="BK62" s="15">
        <f t="shared" si="187"/>
        <v>0</v>
      </c>
      <c r="BL62" s="18">
        <f t="shared" si="135"/>
        <v>0</v>
      </c>
      <c r="BM62" s="78">
        <f t="shared" si="136"/>
        <v>0</v>
      </c>
      <c r="BN62" s="14">
        <f t="shared" si="137"/>
        <v>0</v>
      </c>
      <c r="BO62" s="14">
        <f t="shared" si="138"/>
        <v>0</v>
      </c>
      <c r="BP62" s="15">
        <f t="shared" si="188"/>
        <v>0</v>
      </c>
      <c r="BQ62" s="73">
        <f t="shared" si="139"/>
        <v>0</v>
      </c>
      <c r="BR62" s="13"/>
      <c r="BS62" s="75">
        <f t="shared" si="106"/>
        <v>0</v>
      </c>
      <c r="BT62" s="15">
        <f t="shared" si="107"/>
        <v>0</v>
      </c>
      <c r="BU62" s="15">
        <f t="shared" si="108"/>
        <v>0</v>
      </c>
      <c r="BV62" s="17">
        <f t="shared" si="109"/>
        <v>0</v>
      </c>
      <c r="BW62" s="72">
        <f t="shared" si="140"/>
        <v>0</v>
      </c>
      <c r="BX62" s="14">
        <f t="shared" si="141"/>
        <v>0</v>
      </c>
      <c r="BY62" s="15">
        <f t="shared" si="189"/>
        <v>0</v>
      </c>
      <c r="BZ62" s="14">
        <f t="shared" si="98"/>
        <v>0</v>
      </c>
      <c r="CA62" s="73">
        <f t="shared" si="142"/>
        <v>0</v>
      </c>
      <c r="CB62" s="192" t="e">
        <f t="shared" si="143"/>
        <v>#DIV/0!</v>
      </c>
      <c r="CC62" s="72" t="e">
        <f t="shared" si="144"/>
        <v>#DIV/0!</v>
      </c>
      <c r="CD62" s="14">
        <f t="shared" si="145"/>
        <v>0</v>
      </c>
      <c r="CE62" s="19">
        <f t="shared" si="183"/>
        <v>0</v>
      </c>
      <c r="CF62" s="19">
        <f t="shared" si="146"/>
        <v>0</v>
      </c>
      <c r="CG62" s="20" t="e">
        <f t="shared" si="147"/>
        <v>#DIV/0!</v>
      </c>
      <c r="CH62" s="20" t="e">
        <f t="shared" si="148"/>
        <v>#DIV/0!</v>
      </c>
      <c r="CI62" s="83" t="e">
        <f t="shared" si="190"/>
        <v>#DIV/0!</v>
      </c>
      <c r="CJ62" s="77" t="e">
        <f t="shared" si="149"/>
        <v>#DIV/0!</v>
      </c>
      <c r="CK62" s="2" t="e">
        <f t="shared" si="101"/>
        <v>#DIV/0!</v>
      </c>
      <c r="CL62" s="2" t="str">
        <f t="shared" si="150"/>
        <v/>
      </c>
      <c r="CM62" s="231" t="e">
        <f t="shared" si="102"/>
        <v>#DIV/0!</v>
      </c>
      <c r="CN62" s="233" t="e">
        <f t="shared" si="103"/>
        <v>#DIV/0!</v>
      </c>
      <c r="CO62" s="233">
        <f t="shared" si="104"/>
        <v>0</v>
      </c>
      <c r="CP62" s="2">
        <f t="shared" si="151"/>
        <v>1</v>
      </c>
      <c r="CQ62" s="2">
        <f t="shared" si="152"/>
        <v>1</v>
      </c>
      <c r="CR62" s="2" t="str">
        <f t="shared" si="153"/>
        <v/>
      </c>
      <c r="CS62" s="2">
        <f t="shared" si="154"/>
        <v>0</v>
      </c>
      <c r="CT62" s="191">
        <f t="shared" si="155"/>
        <v>0</v>
      </c>
      <c r="CU62" s="2" t="str">
        <f t="shared" si="156"/>
        <v>OK</v>
      </c>
      <c r="CV62" s="232">
        <f t="shared" si="157"/>
        <v>0.05</v>
      </c>
      <c r="CW62" s="191" t="e">
        <f t="shared" si="158"/>
        <v>#DIV/0!</v>
      </c>
      <c r="CX62" s="191" t="e">
        <f t="shared" si="159"/>
        <v>#DIV/0!</v>
      </c>
      <c r="CY62" s="191" t="e">
        <f t="shared" si="160"/>
        <v>#DIV/0!</v>
      </c>
      <c r="CZ62" s="191" t="e">
        <f t="shared" si="161"/>
        <v>#DIV/0!</v>
      </c>
      <c r="DA62" s="191">
        <f t="shared" si="162"/>
        <v>1</v>
      </c>
      <c r="DB62" s="191">
        <f t="shared" si="163"/>
        <v>0</v>
      </c>
      <c r="DC62" s="2" t="str">
        <f t="shared" si="164"/>
        <v>Soft</v>
      </c>
      <c r="DD62" s="2"/>
      <c r="DE62" s="2">
        <f t="shared" si="165"/>
        <v>0</v>
      </c>
      <c r="DF62" s="191" t="e">
        <f t="shared" si="166"/>
        <v>#DIV/0!</v>
      </c>
      <c r="DG62" s="191" t="e">
        <f t="shared" si="167"/>
        <v>#DIV/0!</v>
      </c>
      <c r="DH62" s="191" t="e">
        <f t="shared" si="168"/>
        <v>#DIV/0!</v>
      </c>
      <c r="DI62" s="191" t="e">
        <f t="shared" si="169"/>
        <v>#DIV/0!</v>
      </c>
      <c r="DJ62" s="191" t="e">
        <f t="shared" si="105"/>
        <v>#DIV/0!</v>
      </c>
      <c r="DK62" s="2"/>
      <c r="DL62" s="2"/>
      <c r="DM62" s="2"/>
      <c r="DN62" s="2">
        <f t="shared" si="170"/>
        <v>1</v>
      </c>
      <c r="DO62" s="191" t="e">
        <f t="shared" si="171"/>
        <v>#DIV/0!</v>
      </c>
      <c r="DP62" s="191" t="e">
        <f t="shared" si="172"/>
        <v>#DIV/0!</v>
      </c>
      <c r="DQ62" s="191" t="e">
        <f t="shared" si="173"/>
        <v>#DIV/0!</v>
      </c>
      <c r="DR62" s="191" t="e">
        <f t="shared" si="174"/>
        <v>#DIV/0!</v>
      </c>
      <c r="DS62" s="191" t="e">
        <f t="shared" si="175"/>
        <v>#DIV/0!</v>
      </c>
      <c r="DT62" s="191" t="e">
        <f t="shared" si="176"/>
        <v>#DIV/0!</v>
      </c>
      <c r="DU62" s="191">
        <f t="shared" si="177"/>
        <v>0</v>
      </c>
      <c r="DV62" s="2"/>
      <c r="DW62" s="2" t="b">
        <f t="shared" si="178"/>
        <v>1</v>
      </c>
      <c r="DX62" s="2" t="b">
        <f t="shared" si="179"/>
        <v>1</v>
      </c>
      <c r="DY62" s="2" t="b">
        <f t="shared" si="180"/>
        <v>1</v>
      </c>
      <c r="DZ62" s="2" t="b">
        <f t="shared" si="181"/>
        <v>1</v>
      </c>
      <c r="EA62" s="2" t="b">
        <f t="shared" si="182"/>
        <v>1</v>
      </c>
      <c r="EB62"/>
    </row>
    <row r="63" spans="1:132" s="108" customFormat="1" ht="18.5" hidden="1" thickBot="1" x14ac:dyDescent="0.45">
      <c r="A63" s="109"/>
      <c r="B63" s="88" t="str">
        <f t="shared" si="80"/>
        <v>-</v>
      </c>
      <c r="C63" s="118">
        <v>44</v>
      </c>
      <c r="D63" s="794"/>
      <c r="E63" s="795"/>
      <c r="F63" s="566"/>
      <c r="G63" s="567"/>
      <c r="H63" s="568"/>
      <c r="I63" s="558"/>
      <c r="J63" s="559"/>
      <c r="K63" s="560"/>
      <c r="L63" s="560"/>
      <c r="M63" s="560"/>
      <c r="N63" s="561"/>
      <c r="O63" s="562"/>
      <c r="P63" s="563"/>
      <c r="Q63" s="564"/>
      <c r="R63" s="565"/>
      <c r="S63" s="112" t="str">
        <f t="shared" si="110"/>
        <v/>
      </c>
      <c r="T63" s="113" t="str">
        <f t="shared" si="111"/>
        <v/>
      </c>
      <c r="U63" s="114">
        <f t="shared" si="112"/>
        <v>0</v>
      </c>
      <c r="V63" s="117" t="str">
        <f t="shared" si="113"/>
        <v/>
      </c>
      <c r="W63" s="234" t="str">
        <f t="shared" si="114"/>
        <v/>
      </c>
      <c r="X63" s="115">
        <f t="shared" si="184"/>
        <v>0</v>
      </c>
      <c r="Y63" s="116" t="str">
        <f t="shared" si="115"/>
        <v/>
      </c>
      <c r="Z63" s="111"/>
      <c r="AA63" s="2"/>
      <c r="AB63" s="2">
        <v>44</v>
      </c>
      <c r="AC63" s="22" t="str">
        <f t="shared" si="185"/>
        <v>-</v>
      </c>
      <c r="AD63" s="22">
        <f t="shared" si="186"/>
        <v>0</v>
      </c>
      <c r="AE63" s="22">
        <f t="shared" si="82"/>
        <v>0</v>
      </c>
      <c r="AF63" s="22"/>
      <c r="AG63" s="21">
        <f t="shared" si="83"/>
        <v>0</v>
      </c>
      <c r="AH63" s="6">
        <f t="shared" si="116"/>
        <v>0</v>
      </c>
      <c r="AI63" s="7">
        <f>IF(SUM(AH63:AH$99)=0,0,F63&gt;0)</f>
        <v>0</v>
      </c>
      <c r="AJ63" s="6">
        <f t="shared" si="117"/>
        <v>0</v>
      </c>
      <c r="AK63" s="7">
        <f>IF(SUM(AH63:AH$99)=0,0,AND(AI63=FALSE,AJ63=0,SUM(AJ63:AJ$99)&gt;0))</f>
        <v>0</v>
      </c>
      <c r="AL63" s="7">
        <f t="shared" si="84"/>
        <v>0</v>
      </c>
      <c r="AM63" s="7">
        <f t="shared" si="118"/>
        <v>0</v>
      </c>
      <c r="AN63" s="9">
        <f t="shared" si="119"/>
        <v>0</v>
      </c>
      <c r="AO63" s="9">
        <f t="shared" si="120"/>
        <v>0</v>
      </c>
      <c r="AP63" s="486">
        <f t="shared" si="121"/>
        <v>0</v>
      </c>
      <c r="AQ63" s="486">
        <f t="shared" si="85"/>
        <v>0</v>
      </c>
      <c r="AR63" s="7">
        <f t="shared" si="122"/>
        <v>0</v>
      </c>
      <c r="AS63" s="7" t="str">
        <f t="shared" si="86"/>
        <v/>
      </c>
      <c r="AT63" s="7">
        <f t="shared" si="123"/>
        <v>0</v>
      </c>
      <c r="AU63" s="485">
        <f t="shared" si="87"/>
        <v>0</v>
      </c>
      <c r="AV63" s="7">
        <f t="shared" si="124"/>
        <v>0</v>
      </c>
      <c r="AW63" s="7">
        <f t="shared" si="125"/>
        <v>0</v>
      </c>
      <c r="AX63" s="7">
        <f t="shared" si="126"/>
        <v>0</v>
      </c>
      <c r="AY63" s="484">
        <f t="shared" si="88"/>
        <v>0</v>
      </c>
      <c r="AZ63" s="7">
        <f t="shared" si="127"/>
        <v>0</v>
      </c>
      <c r="BA63" s="483">
        <f t="shared" si="89"/>
        <v>0</v>
      </c>
      <c r="BB63" s="487" t="str">
        <f t="shared" si="90"/>
        <v/>
      </c>
      <c r="BC63" s="487" t="str">
        <f t="shared" si="91"/>
        <v/>
      </c>
      <c r="BD63" s="7">
        <f t="shared" si="128"/>
        <v>0</v>
      </c>
      <c r="BE63" s="7">
        <f t="shared" si="129"/>
        <v>0</v>
      </c>
      <c r="BF63" s="7">
        <f t="shared" si="130"/>
        <v>0</v>
      </c>
      <c r="BG63" s="8" t="b">
        <f t="shared" si="131"/>
        <v>0</v>
      </c>
      <c r="BH63" s="235" t="str">
        <f t="shared" si="132"/>
        <v/>
      </c>
      <c r="BI63" s="75">
        <f t="shared" si="133"/>
        <v>0</v>
      </c>
      <c r="BJ63" s="15">
        <f t="shared" si="134"/>
        <v>0</v>
      </c>
      <c r="BK63" s="15">
        <f t="shared" si="187"/>
        <v>0</v>
      </c>
      <c r="BL63" s="18">
        <f t="shared" si="135"/>
        <v>0</v>
      </c>
      <c r="BM63" s="78">
        <f t="shared" si="136"/>
        <v>0</v>
      </c>
      <c r="BN63" s="14">
        <f t="shared" si="137"/>
        <v>0</v>
      </c>
      <c r="BO63" s="14">
        <f t="shared" si="138"/>
        <v>0</v>
      </c>
      <c r="BP63" s="15">
        <f t="shared" si="188"/>
        <v>0</v>
      </c>
      <c r="BQ63" s="73">
        <f t="shared" si="139"/>
        <v>0</v>
      </c>
      <c r="BR63" s="13"/>
      <c r="BS63" s="75">
        <f t="shared" si="106"/>
        <v>0</v>
      </c>
      <c r="BT63" s="15">
        <f t="shared" si="107"/>
        <v>0</v>
      </c>
      <c r="BU63" s="15">
        <f t="shared" si="108"/>
        <v>0</v>
      </c>
      <c r="BV63" s="17">
        <f t="shared" si="109"/>
        <v>0</v>
      </c>
      <c r="BW63" s="72">
        <f t="shared" si="140"/>
        <v>0</v>
      </c>
      <c r="BX63" s="14">
        <f t="shared" si="141"/>
        <v>0</v>
      </c>
      <c r="BY63" s="15">
        <f t="shared" si="189"/>
        <v>0</v>
      </c>
      <c r="BZ63" s="14">
        <f t="shared" si="98"/>
        <v>0</v>
      </c>
      <c r="CA63" s="73">
        <f t="shared" si="142"/>
        <v>0</v>
      </c>
      <c r="CB63" s="192" t="e">
        <f t="shared" si="143"/>
        <v>#DIV/0!</v>
      </c>
      <c r="CC63" s="72" t="e">
        <f t="shared" si="144"/>
        <v>#DIV/0!</v>
      </c>
      <c r="CD63" s="14">
        <f t="shared" si="145"/>
        <v>0</v>
      </c>
      <c r="CE63" s="19">
        <f t="shared" si="183"/>
        <v>0</v>
      </c>
      <c r="CF63" s="19">
        <f t="shared" si="146"/>
        <v>0</v>
      </c>
      <c r="CG63" s="20" t="e">
        <f t="shared" si="147"/>
        <v>#DIV/0!</v>
      </c>
      <c r="CH63" s="20" t="e">
        <f t="shared" si="148"/>
        <v>#DIV/0!</v>
      </c>
      <c r="CI63" s="83" t="e">
        <f t="shared" si="190"/>
        <v>#DIV/0!</v>
      </c>
      <c r="CJ63" s="77" t="e">
        <f t="shared" si="149"/>
        <v>#DIV/0!</v>
      </c>
      <c r="CK63" s="2" t="e">
        <f t="shared" si="101"/>
        <v>#DIV/0!</v>
      </c>
      <c r="CL63" s="2" t="str">
        <f t="shared" si="150"/>
        <v/>
      </c>
      <c r="CM63" s="231" t="e">
        <f t="shared" si="102"/>
        <v>#DIV/0!</v>
      </c>
      <c r="CN63" s="233" t="e">
        <f t="shared" si="103"/>
        <v>#DIV/0!</v>
      </c>
      <c r="CO63" s="233">
        <f t="shared" si="104"/>
        <v>0</v>
      </c>
      <c r="CP63" s="2">
        <f t="shared" si="151"/>
        <v>1</v>
      </c>
      <c r="CQ63" s="2">
        <f t="shared" si="152"/>
        <v>1</v>
      </c>
      <c r="CR63" s="2" t="str">
        <f t="shared" si="153"/>
        <v/>
      </c>
      <c r="CS63" s="2">
        <f t="shared" si="154"/>
        <v>0</v>
      </c>
      <c r="CT63" s="191">
        <f t="shared" si="155"/>
        <v>0</v>
      </c>
      <c r="CU63" s="2" t="str">
        <f t="shared" si="156"/>
        <v>OK</v>
      </c>
      <c r="CV63" s="232">
        <f t="shared" si="157"/>
        <v>0.05</v>
      </c>
      <c r="CW63" s="191" t="e">
        <f t="shared" si="158"/>
        <v>#DIV/0!</v>
      </c>
      <c r="CX63" s="191" t="e">
        <f t="shared" si="159"/>
        <v>#DIV/0!</v>
      </c>
      <c r="CY63" s="191" t="e">
        <f t="shared" si="160"/>
        <v>#DIV/0!</v>
      </c>
      <c r="CZ63" s="191" t="e">
        <f t="shared" si="161"/>
        <v>#DIV/0!</v>
      </c>
      <c r="DA63" s="191">
        <f t="shared" si="162"/>
        <v>1</v>
      </c>
      <c r="DB63" s="191">
        <f t="shared" si="163"/>
        <v>0</v>
      </c>
      <c r="DC63" s="2" t="str">
        <f t="shared" si="164"/>
        <v>Soft</v>
      </c>
      <c r="DD63" s="2"/>
      <c r="DE63" s="2">
        <f t="shared" si="165"/>
        <v>0</v>
      </c>
      <c r="DF63" s="191" t="e">
        <f t="shared" si="166"/>
        <v>#DIV/0!</v>
      </c>
      <c r="DG63" s="191" t="e">
        <f t="shared" si="167"/>
        <v>#DIV/0!</v>
      </c>
      <c r="DH63" s="191" t="e">
        <f t="shared" si="168"/>
        <v>#DIV/0!</v>
      </c>
      <c r="DI63" s="191" t="e">
        <f t="shared" si="169"/>
        <v>#DIV/0!</v>
      </c>
      <c r="DJ63" s="191" t="e">
        <f t="shared" si="105"/>
        <v>#DIV/0!</v>
      </c>
      <c r="DK63" s="2"/>
      <c r="DL63" s="2"/>
      <c r="DM63" s="2"/>
      <c r="DN63" s="2">
        <f t="shared" si="170"/>
        <v>1</v>
      </c>
      <c r="DO63" s="191" t="e">
        <f t="shared" si="171"/>
        <v>#DIV/0!</v>
      </c>
      <c r="DP63" s="191" t="e">
        <f t="shared" si="172"/>
        <v>#DIV/0!</v>
      </c>
      <c r="DQ63" s="191" t="e">
        <f t="shared" si="173"/>
        <v>#DIV/0!</v>
      </c>
      <c r="DR63" s="191" t="e">
        <f t="shared" si="174"/>
        <v>#DIV/0!</v>
      </c>
      <c r="DS63" s="191" t="e">
        <f t="shared" si="175"/>
        <v>#DIV/0!</v>
      </c>
      <c r="DT63" s="191" t="e">
        <f t="shared" si="176"/>
        <v>#DIV/0!</v>
      </c>
      <c r="DU63" s="191">
        <f t="shared" si="177"/>
        <v>0</v>
      </c>
      <c r="DV63" s="2"/>
      <c r="DW63" s="2" t="b">
        <f t="shared" si="178"/>
        <v>1</v>
      </c>
      <c r="DX63" s="2" t="b">
        <f t="shared" si="179"/>
        <v>1</v>
      </c>
      <c r="DY63" s="2" t="b">
        <f t="shared" si="180"/>
        <v>1</v>
      </c>
      <c r="DZ63" s="2" t="b">
        <f t="shared" si="181"/>
        <v>1</v>
      </c>
      <c r="EA63" s="2" t="b">
        <f t="shared" si="182"/>
        <v>1</v>
      </c>
      <c r="EB63"/>
    </row>
    <row r="64" spans="1:132" s="108" customFormat="1" ht="18.5" hidden="1" thickBot="1" x14ac:dyDescent="0.45">
      <c r="A64" s="109"/>
      <c r="B64" s="88" t="str">
        <f t="shared" si="80"/>
        <v>-</v>
      </c>
      <c r="C64" s="118">
        <v>45</v>
      </c>
      <c r="D64" s="794"/>
      <c r="E64" s="795"/>
      <c r="F64" s="566"/>
      <c r="G64" s="567"/>
      <c r="H64" s="568"/>
      <c r="I64" s="558"/>
      <c r="J64" s="559"/>
      <c r="K64" s="560"/>
      <c r="L64" s="560"/>
      <c r="M64" s="560"/>
      <c r="N64" s="561"/>
      <c r="O64" s="562"/>
      <c r="P64" s="563"/>
      <c r="Q64" s="564"/>
      <c r="R64" s="565"/>
      <c r="S64" s="112" t="str">
        <f t="shared" si="110"/>
        <v/>
      </c>
      <c r="T64" s="113" t="str">
        <f t="shared" si="111"/>
        <v/>
      </c>
      <c r="U64" s="114">
        <f t="shared" si="112"/>
        <v>0</v>
      </c>
      <c r="V64" s="117" t="str">
        <f t="shared" si="113"/>
        <v/>
      </c>
      <c r="W64" s="234" t="str">
        <f t="shared" si="114"/>
        <v/>
      </c>
      <c r="X64" s="115">
        <f t="shared" si="184"/>
        <v>0</v>
      </c>
      <c r="Y64" s="116" t="str">
        <f t="shared" si="115"/>
        <v/>
      </c>
      <c r="Z64" s="111"/>
      <c r="AA64" s="2"/>
      <c r="AB64" s="2">
        <v>45</v>
      </c>
      <c r="AC64" s="22" t="str">
        <f t="shared" si="185"/>
        <v>-</v>
      </c>
      <c r="AD64" s="22">
        <f t="shared" si="186"/>
        <v>0</v>
      </c>
      <c r="AE64" s="22">
        <f t="shared" si="82"/>
        <v>0</v>
      </c>
      <c r="AF64" s="22"/>
      <c r="AG64" s="21">
        <f t="shared" si="83"/>
        <v>0</v>
      </c>
      <c r="AH64" s="6">
        <f t="shared" si="116"/>
        <v>0</v>
      </c>
      <c r="AI64" s="7">
        <f>IF(SUM(AH64:AH$99)=0,0,F64&gt;0)</f>
        <v>0</v>
      </c>
      <c r="AJ64" s="6">
        <f t="shared" si="117"/>
        <v>0</v>
      </c>
      <c r="AK64" s="7">
        <f>IF(SUM(AH64:AH$99)=0,0,AND(AI64=FALSE,AJ64=0,SUM(AJ64:AJ$99)&gt;0))</f>
        <v>0</v>
      </c>
      <c r="AL64" s="7">
        <f t="shared" si="84"/>
        <v>0</v>
      </c>
      <c r="AM64" s="7">
        <f t="shared" si="118"/>
        <v>0</v>
      </c>
      <c r="AN64" s="9">
        <f t="shared" si="119"/>
        <v>0</v>
      </c>
      <c r="AO64" s="9">
        <f t="shared" si="120"/>
        <v>0</v>
      </c>
      <c r="AP64" s="486">
        <f t="shared" si="121"/>
        <v>0</v>
      </c>
      <c r="AQ64" s="486">
        <f t="shared" si="85"/>
        <v>0</v>
      </c>
      <c r="AR64" s="7">
        <f t="shared" si="122"/>
        <v>0</v>
      </c>
      <c r="AS64" s="7" t="str">
        <f t="shared" si="86"/>
        <v/>
      </c>
      <c r="AT64" s="7">
        <f t="shared" si="123"/>
        <v>0</v>
      </c>
      <c r="AU64" s="485">
        <f t="shared" si="87"/>
        <v>0</v>
      </c>
      <c r="AV64" s="7">
        <f t="shared" si="124"/>
        <v>0</v>
      </c>
      <c r="AW64" s="7">
        <f t="shared" si="125"/>
        <v>0</v>
      </c>
      <c r="AX64" s="7">
        <f t="shared" si="126"/>
        <v>0</v>
      </c>
      <c r="AY64" s="484">
        <f t="shared" si="88"/>
        <v>0</v>
      </c>
      <c r="AZ64" s="7">
        <f t="shared" si="127"/>
        <v>0</v>
      </c>
      <c r="BA64" s="483">
        <f t="shared" si="89"/>
        <v>0</v>
      </c>
      <c r="BB64" s="487" t="str">
        <f t="shared" si="90"/>
        <v/>
      </c>
      <c r="BC64" s="487" t="str">
        <f t="shared" si="91"/>
        <v/>
      </c>
      <c r="BD64" s="7">
        <f t="shared" si="128"/>
        <v>0</v>
      </c>
      <c r="BE64" s="7">
        <f t="shared" si="129"/>
        <v>0</v>
      </c>
      <c r="BF64" s="7">
        <f t="shared" si="130"/>
        <v>0</v>
      </c>
      <c r="BG64" s="8" t="b">
        <f t="shared" si="131"/>
        <v>0</v>
      </c>
      <c r="BH64" s="235" t="str">
        <f t="shared" si="132"/>
        <v/>
      </c>
      <c r="BI64" s="75">
        <f t="shared" si="133"/>
        <v>0</v>
      </c>
      <c r="BJ64" s="15">
        <f t="shared" si="134"/>
        <v>0</v>
      </c>
      <c r="BK64" s="15">
        <f t="shared" si="187"/>
        <v>0</v>
      </c>
      <c r="BL64" s="18">
        <f t="shared" si="135"/>
        <v>0</v>
      </c>
      <c r="BM64" s="78">
        <f t="shared" si="136"/>
        <v>0</v>
      </c>
      <c r="BN64" s="14">
        <f t="shared" si="137"/>
        <v>0</v>
      </c>
      <c r="BO64" s="14">
        <f t="shared" si="138"/>
        <v>0</v>
      </c>
      <c r="BP64" s="15">
        <f t="shared" si="188"/>
        <v>0</v>
      </c>
      <c r="BQ64" s="73">
        <f t="shared" si="139"/>
        <v>0</v>
      </c>
      <c r="BR64" s="13"/>
      <c r="BS64" s="75">
        <f t="shared" si="106"/>
        <v>0</v>
      </c>
      <c r="BT64" s="15">
        <f t="shared" si="107"/>
        <v>0</v>
      </c>
      <c r="BU64" s="15">
        <f t="shared" si="108"/>
        <v>0</v>
      </c>
      <c r="BV64" s="17">
        <f t="shared" si="109"/>
        <v>0</v>
      </c>
      <c r="BW64" s="72">
        <f t="shared" si="140"/>
        <v>0</v>
      </c>
      <c r="BX64" s="14">
        <f t="shared" si="141"/>
        <v>0</v>
      </c>
      <c r="BY64" s="15">
        <f t="shared" si="189"/>
        <v>0</v>
      </c>
      <c r="BZ64" s="14">
        <f t="shared" si="98"/>
        <v>0</v>
      </c>
      <c r="CA64" s="73">
        <f t="shared" si="142"/>
        <v>0</v>
      </c>
      <c r="CB64" s="192" t="e">
        <f t="shared" si="143"/>
        <v>#DIV/0!</v>
      </c>
      <c r="CC64" s="72" t="e">
        <f t="shared" si="144"/>
        <v>#DIV/0!</v>
      </c>
      <c r="CD64" s="14">
        <f t="shared" si="145"/>
        <v>0</v>
      </c>
      <c r="CE64" s="19">
        <f t="shared" si="183"/>
        <v>0</v>
      </c>
      <c r="CF64" s="19">
        <f t="shared" si="146"/>
        <v>0</v>
      </c>
      <c r="CG64" s="20" t="e">
        <f t="shared" si="147"/>
        <v>#DIV/0!</v>
      </c>
      <c r="CH64" s="20" t="e">
        <f t="shared" si="148"/>
        <v>#DIV/0!</v>
      </c>
      <c r="CI64" s="83" t="e">
        <f t="shared" si="190"/>
        <v>#DIV/0!</v>
      </c>
      <c r="CJ64" s="77" t="e">
        <f t="shared" si="149"/>
        <v>#DIV/0!</v>
      </c>
      <c r="CK64" s="2" t="e">
        <f t="shared" si="101"/>
        <v>#DIV/0!</v>
      </c>
      <c r="CL64" s="2" t="str">
        <f t="shared" si="150"/>
        <v/>
      </c>
      <c r="CM64" s="231" t="e">
        <f t="shared" si="102"/>
        <v>#DIV/0!</v>
      </c>
      <c r="CN64" s="233" t="e">
        <f t="shared" si="103"/>
        <v>#DIV/0!</v>
      </c>
      <c r="CO64" s="233">
        <f t="shared" si="104"/>
        <v>0</v>
      </c>
      <c r="CP64" s="2">
        <f t="shared" si="151"/>
        <v>1</v>
      </c>
      <c r="CQ64" s="2">
        <f t="shared" si="152"/>
        <v>1</v>
      </c>
      <c r="CR64" s="2" t="str">
        <f t="shared" si="153"/>
        <v/>
      </c>
      <c r="CS64" s="2">
        <f t="shared" si="154"/>
        <v>0</v>
      </c>
      <c r="CT64" s="191">
        <f t="shared" si="155"/>
        <v>0</v>
      </c>
      <c r="CU64" s="2" t="str">
        <f t="shared" si="156"/>
        <v>OK</v>
      </c>
      <c r="CV64" s="232">
        <f t="shared" si="157"/>
        <v>0.05</v>
      </c>
      <c r="CW64" s="191" t="e">
        <f t="shared" si="158"/>
        <v>#DIV/0!</v>
      </c>
      <c r="CX64" s="191" t="e">
        <f t="shared" si="159"/>
        <v>#DIV/0!</v>
      </c>
      <c r="CY64" s="191" t="e">
        <f t="shared" si="160"/>
        <v>#DIV/0!</v>
      </c>
      <c r="CZ64" s="191" t="e">
        <f t="shared" si="161"/>
        <v>#DIV/0!</v>
      </c>
      <c r="DA64" s="191">
        <f t="shared" si="162"/>
        <v>1</v>
      </c>
      <c r="DB64" s="191">
        <f t="shared" si="163"/>
        <v>0</v>
      </c>
      <c r="DC64" s="2" t="str">
        <f t="shared" si="164"/>
        <v>Soft</v>
      </c>
      <c r="DD64" s="2"/>
      <c r="DE64" s="2">
        <f t="shared" si="165"/>
        <v>0</v>
      </c>
      <c r="DF64" s="191" t="e">
        <f t="shared" si="166"/>
        <v>#DIV/0!</v>
      </c>
      <c r="DG64" s="191" t="e">
        <f t="shared" si="167"/>
        <v>#DIV/0!</v>
      </c>
      <c r="DH64" s="191" t="e">
        <f t="shared" si="168"/>
        <v>#DIV/0!</v>
      </c>
      <c r="DI64" s="191" t="e">
        <f t="shared" si="169"/>
        <v>#DIV/0!</v>
      </c>
      <c r="DJ64" s="191" t="e">
        <f t="shared" si="105"/>
        <v>#DIV/0!</v>
      </c>
      <c r="DK64" s="2"/>
      <c r="DL64" s="2"/>
      <c r="DM64" s="2"/>
      <c r="DN64" s="2">
        <f t="shared" si="170"/>
        <v>1</v>
      </c>
      <c r="DO64" s="191" t="e">
        <f t="shared" si="171"/>
        <v>#DIV/0!</v>
      </c>
      <c r="DP64" s="191" t="e">
        <f t="shared" si="172"/>
        <v>#DIV/0!</v>
      </c>
      <c r="DQ64" s="191" t="e">
        <f t="shared" si="173"/>
        <v>#DIV/0!</v>
      </c>
      <c r="DR64" s="191" t="e">
        <f t="shared" si="174"/>
        <v>#DIV/0!</v>
      </c>
      <c r="DS64" s="191" t="e">
        <f t="shared" si="175"/>
        <v>#DIV/0!</v>
      </c>
      <c r="DT64" s="191" t="e">
        <f t="shared" si="176"/>
        <v>#DIV/0!</v>
      </c>
      <c r="DU64" s="191">
        <f t="shared" si="177"/>
        <v>0</v>
      </c>
      <c r="DV64" s="2"/>
      <c r="DW64" s="2" t="b">
        <f t="shared" si="178"/>
        <v>1</v>
      </c>
      <c r="DX64" s="2" t="b">
        <f t="shared" si="179"/>
        <v>1</v>
      </c>
      <c r="DY64" s="2" t="b">
        <f t="shared" si="180"/>
        <v>1</v>
      </c>
      <c r="DZ64" s="2" t="b">
        <f t="shared" si="181"/>
        <v>1</v>
      </c>
      <c r="EA64" s="2" t="b">
        <f t="shared" si="182"/>
        <v>1</v>
      </c>
      <c r="EB64"/>
    </row>
    <row r="65" spans="1:132" s="108" customFormat="1" ht="18.5" hidden="1" thickBot="1" x14ac:dyDescent="0.45">
      <c r="A65" s="109"/>
      <c r="B65" s="88" t="str">
        <f t="shared" si="80"/>
        <v>-</v>
      </c>
      <c r="C65" s="118">
        <v>46</v>
      </c>
      <c r="D65" s="794"/>
      <c r="E65" s="795"/>
      <c r="F65" s="566"/>
      <c r="G65" s="567"/>
      <c r="H65" s="568"/>
      <c r="I65" s="558"/>
      <c r="J65" s="559"/>
      <c r="K65" s="560"/>
      <c r="L65" s="560"/>
      <c r="M65" s="560"/>
      <c r="N65" s="561"/>
      <c r="O65" s="562"/>
      <c r="P65" s="563"/>
      <c r="Q65" s="564"/>
      <c r="R65" s="565"/>
      <c r="S65" s="112" t="str">
        <f t="shared" si="110"/>
        <v/>
      </c>
      <c r="T65" s="113" t="str">
        <f t="shared" si="111"/>
        <v/>
      </c>
      <c r="U65" s="114">
        <f t="shared" si="112"/>
        <v>0</v>
      </c>
      <c r="V65" s="117" t="str">
        <f t="shared" si="113"/>
        <v/>
      </c>
      <c r="W65" s="234" t="str">
        <f t="shared" si="114"/>
        <v/>
      </c>
      <c r="X65" s="115">
        <f t="shared" si="184"/>
        <v>0</v>
      </c>
      <c r="Y65" s="116" t="str">
        <f t="shared" si="115"/>
        <v/>
      </c>
      <c r="Z65" s="111"/>
      <c r="AA65" s="2"/>
      <c r="AB65" s="2">
        <v>46</v>
      </c>
      <c r="AC65" s="22" t="str">
        <f t="shared" si="185"/>
        <v>-</v>
      </c>
      <c r="AD65" s="22">
        <f t="shared" si="186"/>
        <v>0</v>
      </c>
      <c r="AE65" s="22">
        <f t="shared" si="82"/>
        <v>0</v>
      </c>
      <c r="AF65" s="22"/>
      <c r="AG65" s="21">
        <f t="shared" si="83"/>
        <v>0</v>
      </c>
      <c r="AH65" s="6">
        <f t="shared" si="116"/>
        <v>0</v>
      </c>
      <c r="AI65" s="7">
        <f>IF(SUM(AH65:AH$99)=0,0,F65&gt;0)</f>
        <v>0</v>
      </c>
      <c r="AJ65" s="6">
        <f t="shared" si="117"/>
        <v>0</v>
      </c>
      <c r="AK65" s="7">
        <f>IF(SUM(AH65:AH$99)=0,0,AND(AI65=FALSE,AJ65=0,SUM(AJ65:AJ$99)&gt;0))</f>
        <v>0</v>
      </c>
      <c r="AL65" s="7">
        <f t="shared" si="84"/>
        <v>0</v>
      </c>
      <c r="AM65" s="7">
        <f t="shared" si="118"/>
        <v>0</v>
      </c>
      <c r="AN65" s="9">
        <f t="shared" si="119"/>
        <v>0</v>
      </c>
      <c r="AO65" s="9">
        <f t="shared" si="120"/>
        <v>0</v>
      </c>
      <c r="AP65" s="486">
        <f t="shared" si="121"/>
        <v>0</v>
      </c>
      <c r="AQ65" s="486">
        <f t="shared" si="85"/>
        <v>0</v>
      </c>
      <c r="AR65" s="7">
        <f t="shared" si="122"/>
        <v>0</v>
      </c>
      <c r="AS65" s="7" t="str">
        <f t="shared" si="86"/>
        <v/>
      </c>
      <c r="AT65" s="7">
        <f t="shared" si="123"/>
        <v>0</v>
      </c>
      <c r="AU65" s="485">
        <f t="shared" si="87"/>
        <v>0</v>
      </c>
      <c r="AV65" s="7">
        <f t="shared" si="124"/>
        <v>0</v>
      </c>
      <c r="AW65" s="7">
        <f t="shared" si="125"/>
        <v>0</v>
      </c>
      <c r="AX65" s="7">
        <f t="shared" si="126"/>
        <v>0</v>
      </c>
      <c r="AY65" s="484">
        <f t="shared" si="88"/>
        <v>0</v>
      </c>
      <c r="AZ65" s="7">
        <f t="shared" si="127"/>
        <v>0</v>
      </c>
      <c r="BA65" s="483">
        <f t="shared" si="89"/>
        <v>0</v>
      </c>
      <c r="BB65" s="487" t="str">
        <f t="shared" si="90"/>
        <v/>
      </c>
      <c r="BC65" s="487" t="str">
        <f t="shared" si="91"/>
        <v/>
      </c>
      <c r="BD65" s="7">
        <f t="shared" si="128"/>
        <v>0</v>
      </c>
      <c r="BE65" s="7">
        <f t="shared" si="129"/>
        <v>0</v>
      </c>
      <c r="BF65" s="7">
        <f t="shared" si="130"/>
        <v>0</v>
      </c>
      <c r="BG65" s="8" t="b">
        <f t="shared" si="131"/>
        <v>0</v>
      </c>
      <c r="BH65" s="235" t="str">
        <f t="shared" si="132"/>
        <v/>
      </c>
      <c r="BI65" s="75">
        <f t="shared" si="133"/>
        <v>0</v>
      </c>
      <c r="BJ65" s="15">
        <f t="shared" si="134"/>
        <v>0</v>
      </c>
      <c r="BK65" s="15">
        <f t="shared" si="187"/>
        <v>0</v>
      </c>
      <c r="BL65" s="18">
        <f t="shared" si="135"/>
        <v>0</v>
      </c>
      <c r="BM65" s="78">
        <f t="shared" si="136"/>
        <v>0</v>
      </c>
      <c r="BN65" s="14">
        <f t="shared" si="137"/>
        <v>0</v>
      </c>
      <c r="BO65" s="14">
        <f t="shared" si="138"/>
        <v>0</v>
      </c>
      <c r="BP65" s="15">
        <f t="shared" si="188"/>
        <v>0</v>
      </c>
      <c r="BQ65" s="73">
        <f t="shared" si="139"/>
        <v>0</v>
      </c>
      <c r="BR65" s="13"/>
      <c r="BS65" s="75">
        <f t="shared" si="106"/>
        <v>0</v>
      </c>
      <c r="BT65" s="15">
        <f t="shared" si="107"/>
        <v>0</v>
      </c>
      <c r="BU65" s="15">
        <f t="shared" si="108"/>
        <v>0</v>
      </c>
      <c r="BV65" s="17">
        <f t="shared" si="109"/>
        <v>0</v>
      </c>
      <c r="BW65" s="72">
        <f t="shared" si="140"/>
        <v>0</v>
      </c>
      <c r="BX65" s="14">
        <f t="shared" si="141"/>
        <v>0</v>
      </c>
      <c r="BY65" s="15">
        <f t="shared" si="189"/>
        <v>0</v>
      </c>
      <c r="BZ65" s="14">
        <f t="shared" si="98"/>
        <v>0</v>
      </c>
      <c r="CA65" s="73">
        <f t="shared" si="142"/>
        <v>0</v>
      </c>
      <c r="CB65" s="192" t="e">
        <f t="shared" si="143"/>
        <v>#DIV/0!</v>
      </c>
      <c r="CC65" s="72" t="e">
        <f t="shared" si="144"/>
        <v>#DIV/0!</v>
      </c>
      <c r="CD65" s="14">
        <f t="shared" si="145"/>
        <v>0</v>
      </c>
      <c r="CE65" s="19">
        <f t="shared" si="183"/>
        <v>0</v>
      </c>
      <c r="CF65" s="19">
        <f t="shared" si="146"/>
        <v>0</v>
      </c>
      <c r="CG65" s="20" t="e">
        <f t="shared" si="147"/>
        <v>#DIV/0!</v>
      </c>
      <c r="CH65" s="20" t="e">
        <f t="shared" si="148"/>
        <v>#DIV/0!</v>
      </c>
      <c r="CI65" s="83" t="e">
        <f t="shared" si="190"/>
        <v>#DIV/0!</v>
      </c>
      <c r="CJ65" s="77" t="e">
        <f t="shared" si="149"/>
        <v>#DIV/0!</v>
      </c>
      <c r="CK65" s="2" t="e">
        <f t="shared" si="101"/>
        <v>#DIV/0!</v>
      </c>
      <c r="CL65" s="2" t="str">
        <f t="shared" si="150"/>
        <v/>
      </c>
      <c r="CM65" s="231" t="e">
        <f t="shared" si="102"/>
        <v>#DIV/0!</v>
      </c>
      <c r="CN65" s="233" t="e">
        <f t="shared" si="103"/>
        <v>#DIV/0!</v>
      </c>
      <c r="CO65" s="233">
        <f t="shared" si="104"/>
        <v>0</v>
      </c>
      <c r="CP65" s="2">
        <f t="shared" si="151"/>
        <v>1</v>
      </c>
      <c r="CQ65" s="2">
        <f t="shared" si="152"/>
        <v>1</v>
      </c>
      <c r="CR65" s="2" t="str">
        <f t="shared" si="153"/>
        <v/>
      </c>
      <c r="CS65" s="2">
        <f t="shared" si="154"/>
        <v>0</v>
      </c>
      <c r="CT65" s="191">
        <f t="shared" si="155"/>
        <v>0</v>
      </c>
      <c r="CU65" s="2" t="str">
        <f t="shared" si="156"/>
        <v>OK</v>
      </c>
      <c r="CV65" s="232">
        <f t="shared" si="157"/>
        <v>0.05</v>
      </c>
      <c r="CW65" s="191" t="e">
        <f t="shared" si="158"/>
        <v>#DIV/0!</v>
      </c>
      <c r="CX65" s="191" t="e">
        <f t="shared" si="159"/>
        <v>#DIV/0!</v>
      </c>
      <c r="CY65" s="191" t="e">
        <f t="shared" si="160"/>
        <v>#DIV/0!</v>
      </c>
      <c r="CZ65" s="191" t="e">
        <f t="shared" si="161"/>
        <v>#DIV/0!</v>
      </c>
      <c r="DA65" s="191">
        <f t="shared" si="162"/>
        <v>1</v>
      </c>
      <c r="DB65" s="191">
        <f t="shared" si="163"/>
        <v>0</v>
      </c>
      <c r="DC65" s="2" t="str">
        <f t="shared" si="164"/>
        <v>Soft</v>
      </c>
      <c r="DD65" s="2"/>
      <c r="DE65" s="2">
        <f t="shared" si="165"/>
        <v>0</v>
      </c>
      <c r="DF65" s="191" t="e">
        <f t="shared" si="166"/>
        <v>#DIV/0!</v>
      </c>
      <c r="DG65" s="191" t="e">
        <f t="shared" si="167"/>
        <v>#DIV/0!</v>
      </c>
      <c r="DH65" s="191" t="e">
        <f t="shared" si="168"/>
        <v>#DIV/0!</v>
      </c>
      <c r="DI65" s="191" t="e">
        <f t="shared" si="169"/>
        <v>#DIV/0!</v>
      </c>
      <c r="DJ65" s="191" t="e">
        <f t="shared" si="105"/>
        <v>#DIV/0!</v>
      </c>
      <c r="DK65" s="2"/>
      <c r="DL65" s="2"/>
      <c r="DM65" s="2"/>
      <c r="DN65" s="2">
        <f t="shared" si="170"/>
        <v>1</v>
      </c>
      <c r="DO65" s="191" t="e">
        <f t="shared" si="171"/>
        <v>#DIV/0!</v>
      </c>
      <c r="DP65" s="191" t="e">
        <f t="shared" si="172"/>
        <v>#DIV/0!</v>
      </c>
      <c r="DQ65" s="191" t="e">
        <f t="shared" si="173"/>
        <v>#DIV/0!</v>
      </c>
      <c r="DR65" s="191" t="e">
        <f t="shared" si="174"/>
        <v>#DIV/0!</v>
      </c>
      <c r="DS65" s="191" t="e">
        <f t="shared" si="175"/>
        <v>#DIV/0!</v>
      </c>
      <c r="DT65" s="191" t="e">
        <f t="shared" si="176"/>
        <v>#DIV/0!</v>
      </c>
      <c r="DU65" s="191">
        <f t="shared" si="177"/>
        <v>0</v>
      </c>
      <c r="DV65" s="2"/>
      <c r="DW65" s="2" t="b">
        <f t="shared" si="178"/>
        <v>1</v>
      </c>
      <c r="DX65" s="2" t="b">
        <f t="shared" si="179"/>
        <v>1</v>
      </c>
      <c r="DY65" s="2" t="b">
        <f t="shared" si="180"/>
        <v>1</v>
      </c>
      <c r="DZ65" s="2" t="b">
        <f t="shared" si="181"/>
        <v>1</v>
      </c>
      <c r="EA65" s="2" t="b">
        <f t="shared" si="182"/>
        <v>1</v>
      </c>
      <c r="EB65"/>
    </row>
    <row r="66" spans="1:132" s="108" customFormat="1" ht="18.5" hidden="1" thickBot="1" x14ac:dyDescent="0.45">
      <c r="A66" s="109"/>
      <c r="B66" s="88" t="str">
        <f t="shared" si="80"/>
        <v>-</v>
      </c>
      <c r="C66" s="118">
        <v>47</v>
      </c>
      <c r="D66" s="794"/>
      <c r="E66" s="795"/>
      <c r="F66" s="566"/>
      <c r="G66" s="567"/>
      <c r="H66" s="568"/>
      <c r="I66" s="558"/>
      <c r="J66" s="559"/>
      <c r="K66" s="560"/>
      <c r="L66" s="560"/>
      <c r="M66" s="560"/>
      <c r="N66" s="561"/>
      <c r="O66" s="562"/>
      <c r="P66" s="563"/>
      <c r="Q66" s="564"/>
      <c r="R66" s="565"/>
      <c r="S66" s="112" t="str">
        <f t="shared" si="110"/>
        <v/>
      </c>
      <c r="T66" s="113" t="str">
        <f t="shared" si="111"/>
        <v/>
      </c>
      <c r="U66" s="114">
        <f t="shared" si="112"/>
        <v>0</v>
      </c>
      <c r="V66" s="117" t="str">
        <f t="shared" si="113"/>
        <v/>
      </c>
      <c r="W66" s="234" t="str">
        <f t="shared" si="114"/>
        <v/>
      </c>
      <c r="X66" s="115">
        <f t="shared" si="184"/>
        <v>0</v>
      </c>
      <c r="Y66" s="116" t="str">
        <f t="shared" si="115"/>
        <v/>
      </c>
      <c r="Z66" s="111"/>
      <c r="AA66" s="2"/>
      <c r="AB66" s="2">
        <v>47</v>
      </c>
      <c r="AC66" s="22" t="str">
        <f t="shared" si="185"/>
        <v>-</v>
      </c>
      <c r="AD66" s="22">
        <f t="shared" si="186"/>
        <v>0</v>
      </c>
      <c r="AE66" s="22">
        <f t="shared" si="82"/>
        <v>0</v>
      </c>
      <c r="AF66" s="22"/>
      <c r="AG66" s="21">
        <f t="shared" si="83"/>
        <v>0</v>
      </c>
      <c r="AH66" s="6">
        <f t="shared" si="116"/>
        <v>0</v>
      </c>
      <c r="AI66" s="7">
        <f>IF(SUM(AH66:AH$99)=0,0,F66&gt;0)</f>
        <v>0</v>
      </c>
      <c r="AJ66" s="6">
        <f t="shared" si="117"/>
        <v>0</v>
      </c>
      <c r="AK66" s="7">
        <f>IF(SUM(AH66:AH$99)=0,0,AND(AI66=FALSE,AJ66=0,SUM(AJ66:AJ$99)&gt;0))</f>
        <v>0</v>
      </c>
      <c r="AL66" s="7">
        <f t="shared" si="84"/>
        <v>0</v>
      </c>
      <c r="AM66" s="7">
        <f t="shared" si="118"/>
        <v>0</v>
      </c>
      <c r="AN66" s="9">
        <f t="shared" si="119"/>
        <v>0</v>
      </c>
      <c r="AO66" s="9">
        <f t="shared" si="120"/>
        <v>0</v>
      </c>
      <c r="AP66" s="486">
        <f t="shared" si="121"/>
        <v>0</v>
      </c>
      <c r="AQ66" s="486">
        <f t="shared" si="85"/>
        <v>0</v>
      </c>
      <c r="AR66" s="7">
        <f t="shared" si="122"/>
        <v>0</v>
      </c>
      <c r="AS66" s="7" t="str">
        <f t="shared" si="86"/>
        <v/>
      </c>
      <c r="AT66" s="7">
        <f t="shared" si="123"/>
        <v>0</v>
      </c>
      <c r="AU66" s="485">
        <f t="shared" si="87"/>
        <v>0</v>
      </c>
      <c r="AV66" s="7">
        <f t="shared" si="124"/>
        <v>0</v>
      </c>
      <c r="AW66" s="7">
        <f t="shared" si="125"/>
        <v>0</v>
      </c>
      <c r="AX66" s="7">
        <f t="shared" si="126"/>
        <v>0</v>
      </c>
      <c r="AY66" s="484">
        <f t="shared" si="88"/>
        <v>0</v>
      </c>
      <c r="AZ66" s="7">
        <f t="shared" si="127"/>
        <v>0</v>
      </c>
      <c r="BA66" s="483">
        <f t="shared" si="89"/>
        <v>0</v>
      </c>
      <c r="BB66" s="487" t="str">
        <f t="shared" si="90"/>
        <v/>
      </c>
      <c r="BC66" s="487" t="str">
        <f t="shared" si="91"/>
        <v/>
      </c>
      <c r="BD66" s="7">
        <f t="shared" si="128"/>
        <v>0</v>
      </c>
      <c r="BE66" s="7">
        <f t="shared" si="129"/>
        <v>0</v>
      </c>
      <c r="BF66" s="7">
        <f t="shared" si="130"/>
        <v>0</v>
      </c>
      <c r="BG66" s="8" t="b">
        <f t="shared" si="131"/>
        <v>0</v>
      </c>
      <c r="BH66" s="235" t="str">
        <f t="shared" si="132"/>
        <v/>
      </c>
      <c r="BI66" s="75">
        <f t="shared" si="133"/>
        <v>0</v>
      </c>
      <c r="BJ66" s="15">
        <f t="shared" si="134"/>
        <v>0</v>
      </c>
      <c r="BK66" s="15">
        <f t="shared" si="187"/>
        <v>0</v>
      </c>
      <c r="BL66" s="18">
        <f t="shared" si="135"/>
        <v>0</v>
      </c>
      <c r="BM66" s="78">
        <f t="shared" si="136"/>
        <v>0</v>
      </c>
      <c r="BN66" s="14">
        <f t="shared" si="137"/>
        <v>0</v>
      </c>
      <c r="BO66" s="14">
        <f t="shared" si="138"/>
        <v>0</v>
      </c>
      <c r="BP66" s="15">
        <f t="shared" si="188"/>
        <v>0</v>
      </c>
      <c r="BQ66" s="73">
        <f t="shared" si="139"/>
        <v>0</v>
      </c>
      <c r="BR66" s="13"/>
      <c r="BS66" s="75">
        <f t="shared" si="106"/>
        <v>0</v>
      </c>
      <c r="BT66" s="15">
        <f t="shared" si="107"/>
        <v>0</v>
      </c>
      <c r="BU66" s="15">
        <f t="shared" si="108"/>
        <v>0</v>
      </c>
      <c r="BV66" s="17">
        <f t="shared" si="109"/>
        <v>0</v>
      </c>
      <c r="BW66" s="72">
        <f t="shared" si="140"/>
        <v>0</v>
      </c>
      <c r="BX66" s="14">
        <f t="shared" si="141"/>
        <v>0</v>
      </c>
      <c r="BY66" s="15">
        <f t="shared" si="189"/>
        <v>0</v>
      </c>
      <c r="BZ66" s="14">
        <f t="shared" si="98"/>
        <v>0</v>
      </c>
      <c r="CA66" s="73">
        <f t="shared" si="142"/>
        <v>0</v>
      </c>
      <c r="CB66" s="192" t="e">
        <f t="shared" si="143"/>
        <v>#DIV/0!</v>
      </c>
      <c r="CC66" s="72" t="e">
        <f t="shared" si="144"/>
        <v>#DIV/0!</v>
      </c>
      <c r="CD66" s="14">
        <f t="shared" si="145"/>
        <v>0</v>
      </c>
      <c r="CE66" s="19">
        <f t="shared" si="183"/>
        <v>0</v>
      </c>
      <c r="CF66" s="19">
        <f t="shared" si="146"/>
        <v>0</v>
      </c>
      <c r="CG66" s="20" t="e">
        <f t="shared" si="147"/>
        <v>#DIV/0!</v>
      </c>
      <c r="CH66" s="20" t="e">
        <f t="shared" si="148"/>
        <v>#DIV/0!</v>
      </c>
      <c r="CI66" s="83" t="e">
        <f t="shared" si="190"/>
        <v>#DIV/0!</v>
      </c>
      <c r="CJ66" s="77" t="e">
        <f t="shared" si="149"/>
        <v>#DIV/0!</v>
      </c>
      <c r="CK66" s="2" t="e">
        <f t="shared" si="101"/>
        <v>#DIV/0!</v>
      </c>
      <c r="CL66" s="2" t="str">
        <f t="shared" si="150"/>
        <v/>
      </c>
      <c r="CM66" s="231" t="e">
        <f t="shared" si="102"/>
        <v>#DIV/0!</v>
      </c>
      <c r="CN66" s="233" t="e">
        <f t="shared" si="103"/>
        <v>#DIV/0!</v>
      </c>
      <c r="CO66" s="233">
        <f t="shared" si="104"/>
        <v>0</v>
      </c>
      <c r="CP66" s="2">
        <f t="shared" si="151"/>
        <v>1</v>
      </c>
      <c r="CQ66" s="2">
        <f t="shared" si="152"/>
        <v>1</v>
      </c>
      <c r="CR66" s="2" t="str">
        <f t="shared" si="153"/>
        <v/>
      </c>
      <c r="CS66" s="2">
        <f t="shared" si="154"/>
        <v>0</v>
      </c>
      <c r="CT66" s="191">
        <f t="shared" si="155"/>
        <v>0</v>
      </c>
      <c r="CU66" s="2" t="str">
        <f t="shared" si="156"/>
        <v>OK</v>
      </c>
      <c r="CV66" s="232">
        <f t="shared" si="157"/>
        <v>0.05</v>
      </c>
      <c r="CW66" s="191" t="e">
        <f t="shared" si="158"/>
        <v>#DIV/0!</v>
      </c>
      <c r="CX66" s="191" t="e">
        <f t="shared" si="159"/>
        <v>#DIV/0!</v>
      </c>
      <c r="CY66" s="191" t="e">
        <f t="shared" si="160"/>
        <v>#DIV/0!</v>
      </c>
      <c r="CZ66" s="191" t="e">
        <f t="shared" si="161"/>
        <v>#DIV/0!</v>
      </c>
      <c r="DA66" s="191">
        <f t="shared" si="162"/>
        <v>1</v>
      </c>
      <c r="DB66" s="191">
        <f t="shared" si="163"/>
        <v>0</v>
      </c>
      <c r="DC66" s="2" t="str">
        <f t="shared" si="164"/>
        <v>Soft</v>
      </c>
      <c r="DD66" s="2"/>
      <c r="DE66" s="2">
        <f t="shared" si="165"/>
        <v>0</v>
      </c>
      <c r="DF66" s="191" t="e">
        <f t="shared" si="166"/>
        <v>#DIV/0!</v>
      </c>
      <c r="DG66" s="191" t="e">
        <f t="shared" si="167"/>
        <v>#DIV/0!</v>
      </c>
      <c r="DH66" s="191" t="e">
        <f t="shared" si="168"/>
        <v>#DIV/0!</v>
      </c>
      <c r="DI66" s="191" t="e">
        <f t="shared" si="169"/>
        <v>#DIV/0!</v>
      </c>
      <c r="DJ66" s="191" t="e">
        <f t="shared" si="105"/>
        <v>#DIV/0!</v>
      </c>
      <c r="DK66" s="2"/>
      <c r="DL66" s="2"/>
      <c r="DM66" s="2"/>
      <c r="DN66" s="2">
        <f t="shared" si="170"/>
        <v>1</v>
      </c>
      <c r="DO66" s="191" t="e">
        <f t="shared" si="171"/>
        <v>#DIV/0!</v>
      </c>
      <c r="DP66" s="191" t="e">
        <f t="shared" si="172"/>
        <v>#DIV/0!</v>
      </c>
      <c r="DQ66" s="191" t="e">
        <f t="shared" si="173"/>
        <v>#DIV/0!</v>
      </c>
      <c r="DR66" s="191" t="e">
        <f t="shared" si="174"/>
        <v>#DIV/0!</v>
      </c>
      <c r="DS66" s="191" t="e">
        <f t="shared" si="175"/>
        <v>#DIV/0!</v>
      </c>
      <c r="DT66" s="191" t="e">
        <f t="shared" si="176"/>
        <v>#DIV/0!</v>
      </c>
      <c r="DU66" s="191">
        <f t="shared" si="177"/>
        <v>0</v>
      </c>
      <c r="DV66" s="2"/>
      <c r="DW66" s="2" t="b">
        <f t="shared" si="178"/>
        <v>1</v>
      </c>
      <c r="DX66" s="2" t="b">
        <f t="shared" si="179"/>
        <v>1</v>
      </c>
      <c r="DY66" s="2" t="b">
        <f t="shared" si="180"/>
        <v>1</v>
      </c>
      <c r="DZ66" s="2" t="b">
        <f t="shared" si="181"/>
        <v>1</v>
      </c>
      <c r="EA66" s="2" t="b">
        <f t="shared" si="182"/>
        <v>1</v>
      </c>
      <c r="EB66"/>
    </row>
    <row r="67" spans="1:132" s="108" customFormat="1" ht="18.5" hidden="1" thickBot="1" x14ac:dyDescent="0.45">
      <c r="A67" s="109"/>
      <c r="B67" s="88" t="str">
        <f t="shared" si="80"/>
        <v>-</v>
      </c>
      <c r="C67" s="118">
        <v>48</v>
      </c>
      <c r="D67" s="794"/>
      <c r="E67" s="795"/>
      <c r="F67" s="566"/>
      <c r="G67" s="567"/>
      <c r="H67" s="568"/>
      <c r="I67" s="558"/>
      <c r="J67" s="559"/>
      <c r="K67" s="560"/>
      <c r="L67" s="560"/>
      <c r="M67" s="560"/>
      <c r="N67" s="561"/>
      <c r="O67" s="562"/>
      <c r="P67" s="563"/>
      <c r="Q67" s="564"/>
      <c r="R67" s="565"/>
      <c r="S67" s="112" t="str">
        <f t="shared" si="110"/>
        <v/>
      </c>
      <c r="T67" s="113" t="str">
        <f t="shared" si="111"/>
        <v/>
      </c>
      <c r="U67" s="114">
        <f t="shared" si="112"/>
        <v>0</v>
      </c>
      <c r="V67" s="117" t="str">
        <f t="shared" si="113"/>
        <v/>
      </c>
      <c r="W67" s="234" t="str">
        <f t="shared" si="114"/>
        <v/>
      </c>
      <c r="X67" s="115">
        <f t="shared" si="184"/>
        <v>0</v>
      </c>
      <c r="Y67" s="116" t="str">
        <f t="shared" si="115"/>
        <v/>
      </c>
      <c r="Z67" s="111"/>
      <c r="AA67" s="2"/>
      <c r="AB67" s="2">
        <v>48</v>
      </c>
      <c r="AC67" s="22" t="str">
        <f t="shared" si="185"/>
        <v>-</v>
      </c>
      <c r="AD67" s="22">
        <f t="shared" si="186"/>
        <v>0</v>
      </c>
      <c r="AE67" s="22">
        <f t="shared" si="82"/>
        <v>0</v>
      </c>
      <c r="AF67" s="22"/>
      <c r="AG67" s="21">
        <f t="shared" si="83"/>
        <v>0</v>
      </c>
      <c r="AH67" s="6">
        <f t="shared" si="116"/>
        <v>0</v>
      </c>
      <c r="AI67" s="7">
        <f>IF(SUM(AH67:AH$99)=0,0,F67&gt;0)</f>
        <v>0</v>
      </c>
      <c r="AJ67" s="6">
        <f t="shared" si="117"/>
        <v>0</v>
      </c>
      <c r="AK67" s="7">
        <f>IF(SUM(AH67:AH$99)=0,0,AND(AI67=FALSE,AJ67=0,SUM(AJ67:AJ$99)&gt;0))</f>
        <v>0</v>
      </c>
      <c r="AL67" s="7">
        <f t="shared" si="84"/>
        <v>0</v>
      </c>
      <c r="AM67" s="7">
        <f t="shared" si="118"/>
        <v>0</v>
      </c>
      <c r="AN67" s="9">
        <f t="shared" si="119"/>
        <v>0</v>
      </c>
      <c r="AO67" s="9">
        <f t="shared" si="120"/>
        <v>0</v>
      </c>
      <c r="AP67" s="486">
        <f t="shared" si="121"/>
        <v>0</v>
      </c>
      <c r="AQ67" s="486">
        <f t="shared" si="85"/>
        <v>0</v>
      </c>
      <c r="AR67" s="7">
        <f t="shared" si="122"/>
        <v>0</v>
      </c>
      <c r="AS67" s="7" t="str">
        <f t="shared" si="86"/>
        <v/>
      </c>
      <c r="AT67" s="7">
        <f t="shared" si="123"/>
        <v>0</v>
      </c>
      <c r="AU67" s="485">
        <f t="shared" si="87"/>
        <v>0</v>
      </c>
      <c r="AV67" s="7">
        <f t="shared" si="124"/>
        <v>0</v>
      </c>
      <c r="AW67" s="7">
        <f t="shared" si="125"/>
        <v>0</v>
      </c>
      <c r="AX67" s="7">
        <f t="shared" si="126"/>
        <v>0</v>
      </c>
      <c r="AY67" s="484">
        <f t="shared" si="88"/>
        <v>0</v>
      </c>
      <c r="AZ67" s="7">
        <f t="shared" si="127"/>
        <v>0</v>
      </c>
      <c r="BA67" s="483">
        <f t="shared" si="89"/>
        <v>0</v>
      </c>
      <c r="BB67" s="487" t="str">
        <f t="shared" si="90"/>
        <v/>
      </c>
      <c r="BC67" s="487" t="str">
        <f t="shared" si="91"/>
        <v/>
      </c>
      <c r="BD67" s="7">
        <f t="shared" si="128"/>
        <v>0</v>
      </c>
      <c r="BE67" s="7">
        <f t="shared" si="129"/>
        <v>0</v>
      </c>
      <c r="BF67" s="7">
        <f t="shared" si="130"/>
        <v>0</v>
      </c>
      <c r="BG67" s="8" t="b">
        <f t="shared" si="131"/>
        <v>0</v>
      </c>
      <c r="BH67" s="235" t="str">
        <f t="shared" si="132"/>
        <v/>
      </c>
      <c r="BI67" s="75">
        <f t="shared" si="133"/>
        <v>0</v>
      </c>
      <c r="BJ67" s="15">
        <f t="shared" si="134"/>
        <v>0</v>
      </c>
      <c r="BK67" s="15">
        <f t="shared" si="187"/>
        <v>0</v>
      </c>
      <c r="BL67" s="18">
        <f t="shared" si="135"/>
        <v>0</v>
      </c>
      <c r="BM67" s="78">
        <f t="shared" si="136"/>
        <v>0</v>
      </c>
      <c r="BN67" s="14">
        <f t="shared" si="137"/>
        <v>0</v>
      </c>
      <c r="BO67" s="14">
        <f t="shared" si="138"/>
        <v>0</v>
      </c>
      <c r="BP67" s="15">
        <f t="shared" si="188"/>
        <v>0</v>
      </c>
      <c r="BQ67" s="73">
        <f t="shared" si="139"/>
        <v>0</v>
      </c>
      <c r="BR67" s="13"/>
      <c r="BS67" s="75">
        <f t="shared" si="106"/>
        <v>0</v>
      </c>
      <c r="BT67" s="15">
        <f t="shared" si="107"/>
        <v>0</v>
      </c>
      <c r="BU67" s="15">
        <f t="shared" si="108"/>
        <v>0</v>
      </c>
      <c r="BV67" s="17">
        <f t="shared" si="109"/>
        <v>0</v>
      </c>
      <c r="BW67" s="72">
        <f t="shared" si="140"/>
        <v>0</v>
      </c>
      <c r="BX67" s="14">
        <f t="shared" si="141"/>
        <v>0</v>
      </c>
      <c r="BY67" s="15">
        <f t="shared" si="189"/>
        <v>0</v>
      </c>
      <c r="BZ67" s="14">
        <f t="shared" si="98"/>
        <v>0</v>
      </c>
      <c r="CA67" s="73">
        <f t="shared" si="142"/>
        <v>0</v>
      </c>
      <c r="CB67" s="192" t="e">
        <f t="shared" si="143"/>
        <v>#DIV/0!</v>
      </c>
      <c r="CC67" s="72" t="e">
        <f t="shared" si="144"/>
        <v>#DIV/0!</v>
      </c>
      <c r="CD67" s="14">
        <f t="shared" si="145"/>
        <v>0</v>
      </c>
      <c r="CE67" s="19">
        <f t="shared" si="183"/>
        <v>0</v>
      </c>
      <c r="CF67" s="19">
        <f t="shared" si="146"/>
        <v>0</v>
      </c>
      <c r="CG67" s="20" t="e">
        <f t="shared" si="147"/>
        <v>#DIV/0!</v>
      </c>
      <c r="CH67" s="20" t="e">
        <f t="shared" si="148"/>
        <v>#DIV/0!</v>
      </c>
      <c r="CI67" s="83" t="e">
        <f t="shared" si="190"/>
        <v>#DIV/0!</v>
      </c>
      <c r="CJ67" s="77" t="e">
        <f t="shared" si="149"/>
        <v>#DIV/0!</v>
      </c>
      <c r="CK67" s="2" t="e">
        <f t="shared" si="101"/>
        <v>#DIV/0!</v>
      </c>
      <c r="CL67" s="2" t="str">
        <f t="shared" si="150"/>
        <v/>
      </c>
      <c r="CM67" s="231" t="e">
        <f t="shared" si="102"/>
        <v>#DIV/0!</v>
      </c>
      <c r="CN67" s="233" t="e">
        <f t="shared" si="103"/>
        <v>#DIV/0!</v>
      </c>
      <c r="CO67" s="233">
        <f t="shared" si="104"/>
        <v>0</v>
      </c>
      <c r="CP67" s="2">
        <f t="shared" si="151"/>
        <v>1</v>
      </c>
      <c r="CQ67" s="2">
        <f t="shared" si="152"/>
        <v>1</v>
      </c>
      <c r="CR67" s="2" t="str">
        <f t="shared" si="153"/>
        <v/>
      </c>
      <c r="CS67" s="2">
        <f t="shared" si="154"/>
        <v>0</v>
      </c>
      <c r="CT67" s="191">
        <f t="shared" si="155"/>
        <v>0</v>
      </c>
      <c r="CU67" s="2" t="str">
        <f t="shared" si="156"/>
        <v>OK</v>
      </c>
      <c r="CV67" s="232">
        <f t="shared" si="157"/>
        <v>0.05</v>
      </c>
      <c r="CW67" s="191" t="e">
        <f t="shared" si="158"/>
        <v>#DIV/0!</v>
      </c>
      <c r="CX67" s="191" t="e">
        <f t="shared" si="159"/>
        <v>#DIV/0!</v>
      </c>
      <c r="CY67" s="191" t="e">
        <f t="shared" si="160"/>
        <v>#DIV/0!</v>
      </c>
      <c r="CZ67" s="191" t="e">
        <f t="shared" si="161"/>
        <v>#DIV/0!</v>
      </c>
      <c r="DA67" s="191">
        <f t="shared" si="162"/>
        <v>1</v>
      </c>
      <c r="DB67" s="191">
        <f t="shared" si="163"/>
        <v>0</v>
      </c>
      <c r="DC67" s="2" t="str">
        <f t="shared" si="164"/>
        <v>Soft</v>
      </c>
      <c r="DD67" s="2"/>
      <c r="DE67" s="2">
        <f t="shared" si="165"/>
        <v>0</v>
      </c>
      <c r="DF67" s="191" t="e">
        <f t="shared" si="166"/>
        <v>#DIV/0!</v>
      </c>
      <c r="DG67" s="191" t="e">
        <f t="shared" si="167"/>
        <v>#DIV/0!</v>
      </c>
      <c r="DH67" s="191" t="e">
        <f t="shared" si="168"/>
        <v>#DIV/0!</v>
      </c>
      <c r="DI67" s="191" t="e">
        <f t="shared" si="169"/>
        <v>#DIV/0!</v>
      </c>
      <c r="DJ67" s="191" t="e">
        <f t="shared" si="105"/>
        <v>#DIV/0!</v>
      </c>
      <c r="DK67" s="2"/>
      <c r="DL67" s="2"/>
      <c r="DM67" s="2"/>
      <c r="DN67" s="2">
        <f t="shared" si="170"/>
        <v>1</v>
      </c>
      <c r="DO67" s="191" t="e">
        <f t="shared" si="171"/>
        <v>#DIV/0!</v>
      </c>
      <c r="DP67" s="191" t="e">
        <f t="shared" si="172"/>
        <v>#DIV/0!</v>
      </c>
      <c r="DQ67" s="191" t="e">
        <f t="shared" si="173"/>
        <v>#DIV/0!</v>
      </c>
      <c r="DR67" s="191" t="e">
        <f t="shared" si="174"/>
        <v>#DIV/0!</v>
      </c>
      <c r="DS67" s="191" t="e">
        <f t="shared" si="175"/>
        <v>#DIV/0!</v>
      </c>
      <c r="DT67" s="191" t="e">
        <f t="shared" si="176"/>
        <v>#DIV/0!</v>
      </c>
      <c r="DU67" s="191">
        <f t="shared" si="177"/>
        <v>0</v>
      </c>
      <c r="DV67" s="2"/>
      <c r="DW67" s="2" t="b">
        <f t="shared" si="178"/>
        <v>1</v>
      </c>
      <c r="DX67" s="2" t="b">
        <f t="shared" si="179"/>
        <v>1</v>
      </c>
      <c r="DY67" s="2" t="b">
        <f t="shared" si="180"/>
        <v>1</v>
      </c>
      <c r="DZ67" s="2" t="b">
        <f t="shared" si="181"/>
        <v>1</v>
      </c>
      <c r="EA67" s="2" t="b">
        <f t="shared" si="182"/>
        <v>1</v>
      </c>
      <c r="EB67"/>
    </row>
    <row r="68" spans="1:132" s="108" customFormat="1" ht="18.5" hidden="1" thickBot="1" x14ac:dyDescent="0.45">
      <c r="A68" s="109"/>
      <c r="B68" s="88" t="str">
        <f t="shared" si="80"/>
        <v>-</v>
      </c>
      <c r="C68" s="118">
        <v>49</v>
      </c>
      <c r="D68" s="794"/>
      <c r="E68" s="795"/>
      <c r="F68" s="566"/>
      <c r="G68" s="567"/>
      <c r="H68" s="568"/>
      <c r="I68" s="558"/>
      <c r="J68" s="559"/>
      <c r="K68" s="560"/>
      <c r="L68" s="560"/>
      <c r="M68" s="560"/>
      <c r="N68" s="561"/>
      <c r="O68" s="562"/>
      <c r="P68" s="563"/>
      <c r="Q68" s="564"/>
      <c r="R68" s="565"/>
      <c r="S68" s="112" t="str">
        <f t="shared" si="110"/>
        <v/>
      </c>
      <c r="T68" s="113" t="str">
        <f t="shared" si="111"/>
        <v/>
      </c>
      <c r="U68" s="114">
        <f t="shared" si="112"/>
        <v>0</v>
      </c>
      <c r="V68" s="117" t="str">
        <f t="shared" si="113"/>
        <v/>
      </c>
      <c r="W68" s="234" t="str">
        <f t="shared" si="114"/>
        <v/>
      </c>
      <c r="X68" s="115">
        <f t="shared" si="184"/>
        <v>0</v>
      </c>
      <c r="Y68" s="116" t="str">
        <f t="shared" si="115"/>
        <v/>
      </c>
      <c r="Z68" s="111"/>
      <c r="AA68" s="2"/>
      <c r="AB68" s="2">
        <v>49</v>
      </c>
      <c r="AC68" s="22" t="str">
        <f t="shared" si="185"/>
        <v>-</v>
      </c>
      <c r="AD68" s="22">
        <f t="shared" si="186"/>
        <v>0</v>
      </c>
      <c r="AE68" s="22">
        <f t="shared" si="82"/>
        <v>0</v>
      </c>
      <c r="AF68" s="22"/>
      <c r="AG68" s="21">
        <f t="shared" si="83"/>
        <v>0</v>
      </c>
      <c r="AH68" s="6">
        <f t="shared" si="116"/>
        <v>0</v>
      </c>
      <c r="AI68" s="7">
        <f>IF(SUM(AH68:AH$99)=0,0,F68&gt;0)</f>
        <v>0</v>
      </c>
      <c r="AJ68" s="6">
        <f t="shared" si="117"/>
        <v>0</v>
      </c>
      <c r="AK68" s="7">
        <f>IF(SUM(AH68:AH$99)=0,0,AND(AI68=FALSE,AJ68=0,SUM(AJ68:AJ$99)&gt;0))</f>
        <v>0</v>
      </c>
      <c r="AL68" s="7">
        <f t="shared" si="84"/>
        <v>0</v>
      </c>
      <c r="AM68" s="7">
        <f t="shared" si="118"/>
        <v>0</v>
      </c>
      <c r="AN68" s="9">
        <f t="shared" si="119"/>
        <v>0</v>
      </c>
      <c r="AO68" s="9">
        <f t="shared" si="120"/>
        <v>0</v>
      </c>
      <c r="AP68" s="486">
        <f t="shared" si="121"/>
        <v>0</v>
      </c>
      <c r="AQ68" s="486">
        <f t="shared" si="85"/>
        <v>0</v>
      </c>
      <c r="AR68" s="7">
        <f t="shared" si="122"/>
        <v>0</v>
      </c>
      <c r="AS68" s="7" t="str">
        <f t="shared" si="86"/>
        <v/>
      </c>
      <c r="AT68" s="7">
        <f t="shared" si="123"/>
        <v>0</v>
      </c>
      <c r="AU68" s="485">
        <f t="shared" si="87"/>
        <v>0</v>
      </c>
      <c r="AV68" s="7">
        <f t="shared" si="124"/>
        <v>0</v>
      </c>
      <c r="AW68" s="7">
        <f t="shared" si="125"/>
        <v>0</v>
      </c>
      <c r="AX68" s="7">
        <f t="shared" si="126"/>
        <v>0</v>
      </c>
      <c r="AY68" s="484">
        <f t="shared" si="88"/>
        <v>0</v>
      </c>
      <c r="AZ68" s="7">
        <f t="shared" si="127"/>
        <v>0</v>
      </c>
      <c r="BA68" s="483">
        <f t="shared" si="89"/>
        <v>0</v>
      </c>
      <c r="BB68" s="487" t="str">
        <f t="shared" si="90"/>
        <v/>
      </c>
      <c r="BC68" s="487" t="str">
        <f t="shared" si="91"/>
        <v/>
      </c>
      <c r="BD68" s="7">
        <f t="shared" si="128"/>
        <v>0</v>
      </c>
      <c r="BE68" s="7">
        <f t="shared" si="129"/>
        <v>0</v>
      </c>
      <c r="BF68" s="7">
        <f t="shared" si="130"/>
        <v>0</v>
      </c>
      <c r="BG68" s="8" t="b">
        <f t="shared" si="131"/>
        <v>0</v>
      </c>
      <c r="BH68" s="235" t="str">
        <f t="shared" si="132"/>
        <v/>
      </c>
      <c r="BI68" s="75">
        <f t="shared" si="133"/>
        <v>0</v>
      </c>
      <c r="BJ68" s="15">
        <f t="shared" si="134"/>
        <v>0</v>
      </c>
      <c r="BK68" s="15">
        <f t="shared" si="187"/>
        <v>0</v>
      </c>
      <c r="BL68" s="18">
        <f t="shared" si="135"/>
        <v>0</v>
      </c>
      <c r="BM68" s="78">
        <f t="shared" si="136"/>
        <v>0</v>
      </c>
      <c r="BN68" s="14">
        <f t="shared" si="137"/>
        <v>0</v>
      </c>
      <c r="BO68" s="14">
        <f t="shared" si="138"/>
        <v>0</v>
      </c>
      <c r="BP68" s="15">
        <f t="shared" si="188"/>
        <v>0</v>
      </c>
      <c r="BQ68" s="73">
        <f t="shared" si="139"/>
        <v>0</v>
      </c>
      <c r="BR68" s="13"/>
      <c r="BS68" s="75">
        <f t="shared" si="106"/>
        <v>0</v>
      </c>
      <c r="BT68" s="15">
        <f t="shared" si="107"/>
        <v>0</v>
      </c>
      <c r="BU68" s="15">
        <f t="shared" si="108"/>
        <v>0</v>
      </c>
      <c r="BV68" s="17">
        <f t="shared" si="109"/>
        <v>0</v>
      </c>
      <c r="BW68" s="72">
        <f t="shared" si="140"/>
        <v>0</v>
      </c>
      <c r="BX68" s="14">
        <f t="shared" si="141"/>
        <v>0</v>
      </c>
      <c r="BY68" s="15">
        <f t="shared" si="189"/>
        <v>0</v>
      </c>
      <c r="BZ68" s="14">
        <f t="shared" si="98"/>
        <v>0</v>
      </c>
      <c r="CA68" s="73">
        <f t="shared" si="142"/>
        <v>0</v>
      </c>
      <c r="CB68" s="192" t="e">
        <f t="shared" si="143"/>
        <v>#DIV/0!</v>
      </c>
      <c r="CC68" s="72" t="e">
        <f t="shared" si="144"/>
        <v>#DIV/0!</v>
      </c>
      <c r="CD68" s="14">
        <f t="shared" si="145"/>
        <v>0</v>
      </c>
      <c r="CE68" s="19">
        <f t="shared" si="183"/>
        <v>0</v>
      </c>
      <c r="CF68" s="19">
        <f t="shared" si="146"/>
        <v>0</v>
      </c>
      <c r="CG68" s="20" t="e">
        <f t="shared" si="147"/>
        <v>#DIV/0!</v>
      </c>
      <c r="CH68" s="20" t="e">
        <f t="shared" si="148"/>
        <v>#DIV/0!</v>
      </c>
      <c r="CI68" s="83" t="e">
        <f t="shared" si="190"/>
        <v>#DIV/0!</v>
      </c>
      <c r="CJ68" s="77" t="e">
        <f t="shared" si="149"/>
        <v>#DIV/0!</v>
      </c>
      <c r="CK68" s="2" t="e">
        <f t="shared" si="101"/>
        <v>#DIV/0!</v>
      </c>
      <c r="CL68" s="2" t="str">
        <f t="shared" si="150"/>
        <v/>
      </c>
      <c r="CM68" s="231" t="e">
        <f t="shared" si="102"/>
        <v>#DIV/0!</v>
      </c>
      <c r="CN68" s="233" t="e">
        <f t="shared" si="103"/>
        <v>#DIV/0!</v>
      </c>
      <c r="CO68" s="233">
        <f t="shared" si="104"/>
        <v>0</v>
      </c>
      <c r="CP68" s="2">
        <f t="shared" si="151"/>
        <v>1</v>
      </c>
      <c r="CQ68" s="2">
        <f t="shared" si="152"/>
        <v>1</v>
      </c>
      <c r="CR68" s="2" t="str">
        <f t="shared" si="153"/>
        <v/>
      </c>
      <c r="CS68" s="2">
        <f t="shared" si="154"/>
        <v>0</v>
      </c>
      <c r="CT68" s="191">
        <f t="shared" si="155"/>
        <v>0</v>
      </c>
      <c r="CU68" s="2" t="str">
        <f t="shared" si="156"/>
        <v>OK</v>
      </c>
      <c r="CV68" s="232">
        <f t="shared" si="157"/>
        <v>0.05</v>
      </c>
      <c r="CW68" s="191" t="e">
        <f t="shared" si="158"/>
        <v>#DIV/0!</v>
      </c>
      <c r="CX68" s="191" t="e">
        <f t="shared" si="159"/>
        <v>#DIV/0!</v>
      </c>
      <c r="CY68" s="191" t="e">
        <f t="shared" si="160"/>
        <v>#DIV/0!</v>
      </c>
      <c r="CZ68" s="191" t="e">
        <f t="shared" si="161"/>
        <v>#DIV/0!</v>
      </c>
      <c r="DA68" s="191">
        <f t="shared" si="162"/>
        <v>1</v>
      </c>
      <c r="DB68" s="191">
        <f t="shared" si="163"/>
        <v>0</v>
      </c>
      <c r="DC68" s="2" t="str">
        <f t="shared" si="164"/>
        <v>Soft</v>
      </c>
      <c r="DD68" s="2"/>
      <c r="DE68" s="2">
        <f t="shared" si="165"/>
        <v>0</v>
      </c>
      <c r="DF68" s="191" t="e">
        <f t="shared" si="166"/>
        <v>#DIV/0!</v>
      </c>
      <c r="DG68" s="191" t="e">
        <f t="shared" si="167"/>
        <v>#DIV/0!</v>
      </c>
      <c r="DH68" s="191" t="e">
        <f t="shared" si="168"/>
        <v>#DIV/0!</v>
      </c>
      <c r="DI68" s="191" t="e">
        <f t="shared" si="169"/>
        <v>#DIV/0!</v>
      </c>
      <c r="DJ68" s="191" t="e">
        <f t="shared" si="105"/>
        <v>#DIV/0!</v>
      </c>
      <c r="DK68" s="2"/>
      <c r="DL68" s="2"/>
      <c r="DM68" s="2"/>
      <c r="DN68" s="2">
        <f t="shared" si="170"/>
        <v>1</v>
      </c>
      <c r="DO68" s="191" t="e">
        <f t="shared" si="171"/>
        <v>#DIV/0!</v>
      </c>
      <c r="DP68" s="191" t="e">
        <f t="shared" si="172"/>
        <v>#DIV/0!</v>
      </c>
      <c r="DQ68" s="191" t="e">
        <f t="shared" si="173"/>
        <v>#DIV/0!</v>
      </c>
      <c r="DR68" s="191" t="e">
        <f t="shared" si="174"/>
        <v>#DIV/0!</v>
      </c>
      <c r="DS68" s="191" t="e">
        <f t="shared" si="175"/>
        <v>#DIV/0!</v>
      </c>
      <c r="DT68" s="191" t="e">
        <f t="shared" si="176"/>
        <v>#DIV/0!</v>
      </c>
      <c r="DU68" s="191">
        <f t="shared" si="177"/>
        <v>0</v>
      </c>
      <c r="DV68" s="2"/>
      <c r="DW68" s="2" t="b">
        <f t="shared" si="178"/>
        <v>1</v>
      </c>
      <c r="DX68" s="2" t="b">
        <f t="shared" si="179"/>
        <v>1</v>
      </c>
      <c r="DY68" s="2" t="b">
        <f t="shared" si="180"/>
        <v>1</v>
      </c>
      <c r="DZ68" s="2" t="b">
        <f t="shared" si="181"/>
        <v>1</v>
      </c>
      <c r="EA68" s="2" t="b">
        <f t="shared" si="182"/>
        <v>1</v>
      </c>
      <c r="EB68"/>
    </row>
    <row r="69" spans="1:132" s="108" customFormat="1" ht="18.5" hidden="1" thickBot="1" x14ac:dyDescent="0.45">
      <c r="A69" s="109"/>
      <c r="B69" s="88" t="str">
        <f t="shared" si="80"/>
        <v>-</v>
      </c>
      <c r="C69" s="118">
        <v>50</v>
      </c>
      <c r="D69" s="794"/>
      <c r="E69" s="795"/>
      <c r="F69" s="566"/>
      <c r="G69" s="567"/>
      <c r="H69" s="568"/>
      <c r="I69" s="558"/>
      <c r="J69" s="559"/>
      <c r="K69" s="560"/>
      <c r="L69" s="560"/>
      <c r="M69" s="560"/>
      <c r="N69" s="561"/>
      <c r="O69" s="562"/>
      <c r="P69" s="563"/>
      <c r="Q69" s="564"/>
      <c r="R69" s="565"/>
      <c r="S69" s="112" t="str">
        <f t="shared" si="110"/>
        <v/>
      </c>
      <c r="T69" s="113" t="str">
        <f t="shared" si="111"/>
        <v/>
      </c>
      <c r="U69" s="114">
        <f t="shared" si="112"/>
        <v>0</v>
      </c>
      <c r="V69" s="117" t="str">
        <f t="shared" si="113"/>
        <v/>
      </c>
      <c r="W69" s="234" t="str">
        <f t="shared" si="114"/>
        <v/>
      </c>
      <c r="X69" s="115">
        <f t="shared" si="184"/>
        <v>0</v>
      </c>
      <c r="Y69" s="116" t="str">
        <f t="shared" si="115"/>
        <v/>
      </c>
      <c r="Z69" s="111"/>
      <c r="AA69" s="2"/>
      <c r="AB69" s="2">
        <v>50</v>
      </c>
      <c r="AC69" s="22" t="str">
        <f t="shared" si="185"/>
        <v>-</v>
      </c>
      <c r="AD69" s="22">
        <f t="shared" si="186"/>
        <v>0</v>
      </c>
      <c r="AE69" s="22">
        <f t="shared" si="82"/>
        <v>0</v>
      </c>
      <c r="AF69" s="22"/>
      <c r="AG69" s="21">
        <f t="shared" si="83"/>
        <v>0</v>
      </c>
      <c r="AH69" s="6">
        <f t="shared" si="116"/>
        <v>0</v>
      </c>
      <c r="AI69" s="7">
        <f>IF(SUM(AH69:AH$99)=0,0,F69&gt;0)</f>
        <v>0</v>
      </c>
      <c r="AJ69" s="6">
        <f t="shared" si="117"/>
        <v>0</v>
      </c>
      <c r="AK69" s="7">
        <f>IF(SUM(AH69:AH$99)=0,0,AND(AI69=FALSE,AJ69=0,SUM(AJ69:AJ$99)&gt;0))</f>
        <v>0</v>
      </c>
      <c r="AL69" s="7">
        <f t="shared" si="84"/>
        <v>0</v>
      </c>
      <c r="AM69" s="7">
        <f t="shared" si="118"/>
        <v>0</v>
      </c>
      <c r="AN69" s="9">
        <f t="shared" si="119"/>
        <v>0</v>
      </c>
      <c r="AO69" s="9">
        <f t="shared" si="120"/>
        <v>0</v>
      </c>
      <c r="AP69" s="486">
        <f t="shared" si="121"/>
        <v>0</v>
      </c>
      <c r="AQ69" s="486">
        <f t="shared" si="85"/>
        <v>0</v>
      </c>
      <c r="AR69" s="7">
        <f t="shared" si="122"/>
        <v>0</v>
      </c>
      <c r="AS69" s="7" t="str">
        <f t="shared" si="86"/>
        <v/>
      </c>
      <c r="AT69" s="7">
        <f t="shared" si="123"/>
        <v>0</v>
      </c>
      <c r="AU69" s="485">
        <f t="shared" si="87"/>
        <v>0</v>
      </c>
      <c r="AV69" s="7">
        <f t="shared" si="124"/>
        <v>0</v>
      </c>
      <c r="AW69" s="7">
        <f t="shared" si="125"/>
        <v>0</v>
      </c>
      <c r="AX69" s="7">
        <f t="shared" si="126"/>
        <v>0</v>
      </c>
      <c r="AY69" s="484">
        <f t="shared" si="88"/>
        <v>0</v>
      </c>
      <c r="AZ69" s="7">
        <f t="shared" si="127"/>
        <v>0</v>
      </c>
      <c r="BA69" s="483">
        <f t="shared" si="89"/>
        <v>0</v>
      </c>
      <c r="BB69" s="487" t="str">
        <f t="shared" si="90"/>
        <v/>
      </c>
      <c r="BC69" s="487" t="str">
        <f t="shared" si="91"/>
        <v/>
      </c>
      <c r="BD69" s="7">
        <f t="shared" si="128"/>
        <v>0</v>
      </c>
      <c r="BE69" s="7">
        <f t="shared" si="129"/>
        <v>0</v>
      </c>
      <c r="BF69" s="7">
        <f t="shared" si="130"/>
        <v>0</v>
      </c>
      <c r="BG69" s="8" t="b">
        <f t="shared" si="131"/>
        <v>0</v>
      </c>
      <c r="BH69" s="235" t="str">
        <f t="shared" si="132"/>
        <v/>
      </c>
      <c r="BI69" s="75">
        <f t="shared" si="133"/>
        <v>0</v>
      </c>
      <c r="BJ69" s="15">
        <f t="shared" si="134"/>
        <v>0</v>
      </c>
      <c r="BK69" s="15">
        <f t="shared" si="187"/>
        <v>0</v>
      </c>
      <c r="BL69" s="18">
        <f t="shared" si="135"/>
        <v>0</v>
      </c>
      <c r="BM69" s="78">
        <f t="shared" si="136"/>
        <v>0</v>
      </c>
      <c r="BN69" s="14">
        <f t="shared" si="137"/>
        <v>0</v>
      </c>
      <c r="BO69" s="14">
        <f t="shared" si="138"/>
        <v>0</v>
      </c>
      <c r="BP69" s="15">
        <f t="shared" si="188"/>
        <v>0</v>
      </c>
      <c r="BQ69" s="73">
        <f t="shared" si="139"/>
        <v>0</v>
      </c>
      <c r="BR69" s="13"/>
      <c r="BS69" s="75">
        <f t="shared" si="106"/>
        <v>0</v>
      </c>
      <c r="BT69" s="15">
        <f t="shared" si="107"/>
        <v>0</v>
      </c>
      <c r="BU69" s="15">
        <f t="shared" si="108"/>
        <v>0</v>
      </c>
      <c r="BV69" s="17">
        <f t="shared" si="109"/>
        <v>0</v>
      </c>
      <c r="BW69" s="72">
        <f t="shared" si="140"/>
        <v>0</v>
      </c>
      <c r="BX69" s="14">
        <f t="shared" si="141"/>
        <v>0</v>
      </c>
      <c r="BY69" s="15">
        <f t="shared" si="189"/>
        <v>0</v>
      </c>
      <c r="BZ69" s="14">
        <f t="shared" si="98"/>
        <v>0</v>
      </c>
      <c r="CA69" s="73">
        <f t="shared" si="142"/>
        <v>0</v>
      </c>
      <c r="CB69" s="192" t="e">
        <f t="shared" si="143"/>
        <v>#DIV/0!</v>
      </c>
      <c r="CC69" s="72" t="e">
        <f t="shared" si="144"/>
        <v>#DIV/0!</v>
      </c>
      <c r="CD69" s="14">
        <f t="shared" si="145"/>
        <v>0</v>
      </c>
      <c r="CE69" s="19">
        <f t="shared" si="183"/>
        <v>0</v>
      </c>
      <c r="CF69" s="19">
        <f t="shared" si="146"/>
        <v>0</v>
      </c>
      <c r="CG69" s="20" t="e">
        <f t="shared" si="147"/>
        <v>#DIV/0!</v>
      </c>
      <c r="CH69" s="20" t="e">
        <f t="shared" si="148"/>
        <v>#DIV/0!</v>
      </c>
      <c r="CI69" s="83" t="e">
        <f t="shared" si="190"/>
        <v>#DIV/0!</v>
      </c>
      <c r="CJ69" s="77" t="e">
        <f t="shared" si="149"/>
        <v>#DIV/0!</v>
      </c>
      <c r="CK69" s="2" t="e">
        <f t="shared" si="101"/>
        <v>#DIV/0!</v>
      </c>
      <c r="CL69" s="2" t="str">
        <f t="shared" si="150"/>
        <v/>
      </c>
      <c r="CM69" s="231" t="e">
        <f t="shared" si="102"/>
        <v>#DIV/0!</v>
      </c>
      <c r="CN69" s="233" t="e">
        <f t="shared" si="103"/>
        <v>#DIV/0!</v>
      </c>
      <c r="CO69" s="233">
        <f t="shared" si="104"/>
        <v>0</v>
      </c>
      <c r="CP69" s="2">
        <f t="shared" si="151"/>
        <v>1</v>
      </c>
      <c r="CQ69" s="2">
        <f t="shared" si="152"/>
        <v>1</v>
      </c>
      <c r="CR69" s="2" t="str">
        <f t="shared" si="153"/>
        <v/>
      </c>
      <c r="CS69" s="2">
        <f t="shared" si="154"/>
        <v>0</v>
      </c>
      <c r="CT69" s="191">
        <f t="shared" si="155"/>
        <v>0</v>
      </c>
      <c r="CU69" s="2" t="str">
        <f t="shared" si="156"/>
        <v>OK</v>
      </c>
      <c r="CV69" s="232">
        <f t="shared" si="157"/>
        <v>0.05</v>
      </c>
      <c r="CW69" s="191" t="e">
        <f t="shared" si="158"/>
        <v>#DIV/0!</v>
      </c>
      <c r="CX69" s="191" t="e">
        <f t="shared" si="159"/>
        <v>#DIV/0!</v>
      </c>
      <c r="CY69" s="191" t="e">
        <f t="shared" si="160"/>
        <v>#DIV/0!</v>
      </c>
      <c r="CZ69" s="191" t="e">
        <f t="shared" si="161"/>
        <v>#DIV/0!</v>
      </c>
      <c r="DA69" s="191">
        <f t="shared" si="162"/>
        <v>1</v>
      </c>
      <c r="DB69" s="191">
        <f t="shared" si="163"/>
        <v>0</v>
      </c>
      <c r="DC69" s="2" t="str">
        <f t="shared" si="164"/>
        <v>Soft</v>
      </c>
      <c r="DD69" s="2"/>
      <c r="DE69" s="2">
        <f t="shared" si="165"/>
        <v>0</v>
      </c>
      <c r="DF69" s="191" t="e">
        <f t="shared" si="166"/>
        <v>#DIV/0!</v>
      </c>
      <c r="DG69" s="191" t="e">
        <f t="shared" si="167"/>
        <v>#DIV/0!</v>
      </c>
      <c r="DH69" s="191" t="e">
        <f t="shared" si="168"/>
        <v>#DIV/0!</v>
      </c>
      <c r="DI69" s="191" t="e">
        <f t="shared" si="169"/>
        <v>#DIV/0!</v>
      </c>
      <c r="DJ69" s="191" t="e">
        <f t="shared" si="105"/>
        <v>#DIV/0!</v>
      </c>
      <c r="DK69" s="2"/>
      <c r="DL69" s="2"/>
      <c r="DM69" s="2"/>
      <c r="DN69" s="2">
        <f t="shared" si="170"/>
        <v>1</v>
      </c>
      <c r="DO69" s="191" t="e">
        <f t="shared" si="171"/>
        <v>#DIV/0!</v>
      </c>
      <c r="DP69" s="191" t="e">
        <f t="shared" si="172"/>
        <v>#DIV/0!</v>
      </c>
      <c r="DQ69" s="191" t="e">
        <f t="shared" si="173"/>
        <v>#DIV/0!</v>
      </c>
      <c r="DR69" s="191" t="e">
        <f t="shared" si="174"/>
        <v>#DIV/0!</v>
      </c>
      <c r="DS69" s="191" t="e">
        <f t="shared" si="175"/>
        <v>#DIV/0!</v>
      </c>
      <c r="DT69" s="191" t="e">
        <f t="shared" si="176"/>
        <v>#DIV/0!</v>
      </c>
      <c r="DU69" s="191">
        <f t="shared" si="177"/>
        <v>0</v>
      </c>
      <c r="DV69" s="2"/>
      <c r="DW69" s="2" t="b">
        <f t="shared" si="178"/>
        <v>1</v>
      </c>
      <c r="DX69" s="2" t="b">
        <f t="shared" si="179"/>
        <v>1</v>
      </c>
      <c r="DY69" s="2" t="b">
        <f t="shared" si="180"/>
        <v>1</v>
      </c>
      <c r="DZ69" s="2" t="b">
        <f t="shared" si="181"/>
        <v>1</v>
      </c>
      <c r="EA69" s="2" t="b">
        <f t="shared" si="182"/>
        <v>1</v>
      </c>
      <c r="EB69"/>
    </row>
    <row r="70" spans="1:132" s="108" customFormat="1" ht="18.5" hidden="1" thickBot="1" x14ac:dyDescent="0.45">
      <c r="A70" s="109"/>
      <c r="B70" s="88" t="str">
        <f t="shared" si="80"/>
        <v>-</v>
      </c>
      <c r="C70" s="118">
        <v>51</v>
      </c>
      <c r="D70" s="794"/>
      <c r="E70" s="795"/>
      <c r="F70" s="566"/>
      <c r="G70" s="567"/>
      <c r="H70" s="568"/>
      <c r="I70" s="558"/>
      <c r="J70" s="559"/>
      <c r="K70" s="560"/>
      <c r="L70" s="560"/>
      <c r="M70" s="560"/>
      <c r="N70" s="561"/>
      <c r="O70" s="562"/>
      <c r="P70" s="563"/>
      <c r="Q70" s="564"/>
      <c r="R70" s="565"/>
      <c r="S70" s="112" t="str">
        <f t="shared" si="110"/>
        <v/>
      </c>
      <c r="T70" s="113" t="str">
        <f t="shared" si="111"/>
        <v/>
      </c>
      <c r="U70" s="114">
        <f t="shared" si="112"/>
        <v>0</v>
      </c>
      <c r="V70" s="117" t="str">
        <f t="shared" si="113"/>
        <v/>
      </c>
      <c r="W70" s="234" t="str">
        <f t="shared" si="114"/>
        <v/>
      </c>
      <c r="X70" s="115">
        <f t="shared" si="184"/>
        <v>0</v>
      </c>
      <c r="Y70" s="116" t="str">
        <f t="shared" si="115"/>
        <v/>
      </c>
      <c r="Z70" s="111"/>
      <c r="AA70" s="2"/>
      <c r="AB70" s="2">
        <v>51</v>
      </c>
      <c r="AC70" s="22" t="str">
        <f t="shared" si="185"/>
        <v>-</v>
      </c>
      <c r="AD70" s="22">
        <f t="shared" si="186"/>
        <v>0</v>
      </c>
      <c r="AE70" s="22">
        <f t="shared" si="82"/>
        <v>0</v>
      </c>
      <c r="AF70" s="22"/>
      <c r="AG70" s="21">
        <f t="shared" si="83"/>
        <v>0</v>
      </c>
      <c r="AH70" s="6">
        <f t="shared" si="116"/>
        <v>0</v>
      </c>
      <c r="AI70" s="7">
        <f>IF(SUM(AH70:AH$99)=0,0,F70&gt;0)</f>
        <v>0</v>
      </c>
      <c r="AJ70" s="6">
        <f t="shared" si="117"/>
        <v>0</v>
      </c>
      <c r="AK70" s="7">
        <f>IF(SUM(AH70:AH$99)=0,0,AND(AI70=FALSE,AJ70=0,SUM(AJ70:AJ$99)&gt;0))</f>
        <v>0</v>
      </c>
      <c r="AL70" s="7">
        <f t="shared" si="84"/>
        <v>0</v>
      </c>
      <c r="AM70" s="7">
        <f t="shared" si="118"/>
        <v>0</v>
      </c>
      <c r="AN70" s="9">
        <f t="shared" si="119"/>
        <v>0</v>
      </c>
      <c r="AO70" s="9">
        <f t="shared" si="120"/>
        <v>0</v>
      </c>
      <c r="AP70" s="486">
        <f t="shared" si="121"/>
        <v>0</v>
      </c>
      <c r="AQ70" s="486">
        <f t="shared" si="85"/>
        <v>0</v>
      </c>
      <c r="AR70" s="7">
        <f t="shared" si="122"/>
        <v>0</v>
      </c>
      <c r="AS70" s="7" t="str">
        <f t="shared" si="86"/>
        <v/>
      </c>
      <c r="AT70" s="7">
        <f t="shared" si="123"/>
        <v>0</v>
      </c>
      <c r="AU70" s="485">
        <f t="shared" si="87"/>
        <v>0</v>
      </c>
      <c r="AV70" s="7">
        <f t="shared" si="124"/>
        <v>0</v>
      </c>
      <c r="AW70" s="7">
        <f t="shared" si="125"/>
        <v>0</v>
      </c>
      <c r="AX70" s="7">
        <f t="shared" si="126"/>
        <v>0</v>
      </c>
      <c r="AY70" s="484">
        <f t="shared" si="88"/>
        <v>0</v>
      </c>
      <c r="AZ70" s="7">
        <f t="shared" si="127"/>
        <v>0</v>
      </c>
      <c r="BA70" s="483">
        <f t="shared" si="89"/>
        <v>0</v>
      </c>
      <c r="BB70" s="487" t="str">
        <f t="shared" si="90"/>
        <v/>
      </c>
      <c r="BC70" s="487" t="str">
        <f t="shared" si="91"/>
        <v/>
      </c>
      <c r="BD70" s="7">
        <f t="shared" si="128"/>
        <v>0</v>
      </c>
      <c r="BE70" s="7">
        <f t="shared" si="129"/>
        <v>0</v>
      </c>
      <c r="BF70" s="7">
        <f t="shared" si="130"/>
        <v>0</v>
      </c>
      <c r="BG70" s="8" t="b">
        <f t="shared" si="131"/>
        <v>0</v>
      </c>
      <c r="BH70" s="235" t="str">
        <f t="shared" si="132"/>
        <v/>
      </c>
      <c r="BI70" s="75">
        <f t="shared" si="133"/>
        <v>0</v>
      </c>
      <c r="BJ70" s="15">
        <f t="shared" si="134"/>
        <v>0</v>
      </c>
      <c r="BK70" s="15">
        <f t="shared" si="187"/>
        <v>0</v>
      </c>
      <c r="BL70" s="18">
        <f t="shared" si="135"/>
        <v>0</v>
      </c>
      <c r="BM70" s="78">
        <f t="shared" si="136"/>
        <v>0</v>
      </c>
      <c r="BN70" s="14">
        <f t="shared" si="137"/>
        <v>0</v>
      </c>
      <c r="BO70" s="14">
        <f t="shared" si="138"/>
        <v>0</v>
      </c>
      <c r="BP70" s="15">
        <f t="shared" si="188"/>
        <v>0</v>
      </c>
      <c r="BQ70" s="73">
        <f t="shared" si="139"/>
        <v>0</v>
      </c>
      <c r="BR70" s="13"/>
      <c r="BS70" s="75">
        <f t="shared" si="106"/>
        <v>0</v>
      </c>
      <c r="BT70" s="15">
        <f t="shared" si="107"/>
        <v>0</v>
      </c>
      <c r="BU70" s="15">
        <f t="shared" si="108"/>
        <v>0</v>
      </c>
      <c r="BV70" s="17">
        <f t="shared" si="109"/>
        <v>0</v>
      </c>
      <c r="BW70" s="72">
        <f t="shared" si="140"/>
        <v>0</v>
      </c>
      <c r="BX70" s="14">
        <f t="shared" si="141"/>
        <v>0</v>
      </c>
      <c r="BY70" s="15">
        <f t="shared" si="189"/>
        <v>0</v>
      </c>
      <c r="BZ70" s="14">
        <f t="shared" si="98"/>
        <v>0</v>
      </c>
      <c r="CA70" s="73">
        <f t="shared" si="142"/>
        <v>0</v>
      </c>
      <c r="CB70" s="192" t="e">
        <f t="shared" si="143"/>
        <v>#DIV/0!</v>
      </c>
      <c r="CC70" s="72" t="e">
        <f t="shared" si="144"/>
        <v>#DIV/0!</v>
      </c>
      <c r="CD70" s="14">
        <f t="shared" si="145"/>
        <v>0</v>
      </c>
      <c r="CE70" s="19">
        <f t="shared" si="183"/>
        <v>0</v>
      </c>
      <c r="CF70" s="19">
        <f t="shared" si="146"/>
        <v>0</v>
      </c>
      <c r="CG70" s="20" t="e">
        <f t="shared" si="147"/>
        <v>#DIV/0!</v>
      </c>
      <c r="CH70" s="20" t="e">
        <f t="shared" si="148"/>
        <v>#DIV/0!</v>
      </c>
      <c r="CI70" s="83" t="e">
        <f t="shared" si="190"/>
        <v>#DIV/0!</v>
      </c>
      <c r="CJ70" s="77" t="e">
        <f t="shared" si="149"/>
        <v>#DIV/0!</v>
      </c>
      <c r="CK70" s="2" t="e">
        <f t="shared" si="101"/>
        <v>#DIV/0!</v>
      </c>
      <c r="CL70" s="2" t="str">
        <f t="shared" si="150"/>
        <v/>
      </c>
      <c r="CM70" s="231" t="e">
        <f t="shared" si="102"/>
        <v>#DIV/0!</v>
      </c>
      <c r="CN70" s="233" t="e">
        <f t="shared" si="103"/>
        <v>#DIV/0!</v>
      </c>
      <c r="CO70" s="233">
        <f t="shared" si="104"/>
        <v>0</v>
      </c>
      <c r="CP70" s="2">
        <f t="shared" si="151"/>
        <v>1</v>
      </c>
      <c r="CQ70" s="2">
        <f t="shared" si="152"/>
        <v>1</v>
      </c>
      <c r="CR70" s="2" t="str">
        <f t="shared" si="153"/>
        <v/>
      </c>
      <c r="CS70" s="2">
        <f t="shared" si="154"/>
        <v>0</v>
      </c>
      <c r="CT70" s="191">
        <f t="shared" si="155"/>
        <v>0</v>
      </c>
      <c r="CU70" s="2" t="str">
        <f t="shared" si="156"/>
        <v>OK</v>
      </c>
      <c r="CV70" s="232">
        <f t="shared" si="157"/>
        <v>0.05</v>
      </c>
      <c r="CW70" s="191" t="e">
        <f t="shared" si="158"/>
        <v>#DIV/0!</v>
      </c>
      <c r="CX70" s="191" t="e">
        <f t="shared" si="159"/>
        <v>#DIV/0!</v>
      </c>
      <c r="CY70" s="191" t="e">
        <f t="shared" si="160"/>
        <v>#DIV/0!</v>
      </c>
      <c r="CZ70" s="191" t="e">
        <f t="shared" si="161"/>
        <v>#DIV/0!</v>
      </c>
      <c r="DA70" s="191">
        <f t="shared" si="162"/>
        <v>1</v>
      </c>
      <c r="DB70" s="191">
        <f t="shared" si="163"/>
        <v>0</v>
      </c>
      <c r="DC70" s="2" t="str">
        <f t="shared" si="164"/>
        <v>Soft</v>
      </c>
      <c r="DD70" s="2"/>
      <c r="DE70" s="2">
        <f t="shared" si="165"/>
        <v>0</v>
      </c>
      <c r="DF70" s="191" t="e">
        <f t="shared" si="166"/>
        <v>#DIV/0!</v>
      </c>
      <c r="DG70" s="191" t="e">
        <f t="shared" si="167"/>
        <v>#DIV/0!</v>
      </c>
      <c r="DH70" s="191" t="e">
        <f t="shared" si="168"/>
        <v>#DIV/0!</v>
      </c>
      <c r="DI70" s="191" t="e">
        <f t="shared" si="169"/>
        <v>#DIV/0!</v>
      </c>
      <c r="DJ70" s="191" t="e">
        <f t="shared" si="105"/>
        <v>#DIV/0!</v>
      </c>
      <c r="DK70" s="2"/>
      <c r="DL70" s="2"/>
      <c r="DM70" s="2"/>
      <c r="DN70" s="2">
        <f t="shared" si="170"/>
        <v>1</v>
      </c>
      <c r="DO70" s="191" t="e">
        <f t="shared" si="171"/>
        <v>#DIV/0!</v>
      </c>
      <c r="DP70" s="191" t="e">
        <f t="shared" si="172"/>
        <v>#DIV/0!</v>
      </c>
      <c r="DQ70" s="191" t="e">
        <f t="shared" si="173"/>
        <v>#DIV/0!</v>
      </c>
      <c r="DR70" s="191" t="e">
        <f t="shared" si="174"/>
        <v>#DIV/0!</v>
      </c>
      <c r="DS70" s="191" t="e">
        <f t="shared" si="175"/>
        <v>#DIV/0!</v>
      </c>
      <c r="DT70" s="191" t="e">
        <f t="shared" si="176"/>
        <v>#DIV/0!</v>
      </c>
      <c r="DU70" s="191">
        <f t="shared" si="177"/>
        <v>0</v>
      </c>
      <c r="DV70" s="2"/>
      <c r="DW70" s="2" t="b">
        <f t="shared" si="178"/>
        <v>1</v>
      </c>
      <c r="DX70" s="2" t="b">
        <f t="shared" si="179"/>
        <v>1</v>
      </c>
      <c r="DY70" s="2" t="b">
        <f t="shared" si="180"/>
        <v>1</v>
      </c>
      <c r="DZ70" s="2" t="b">
        <f t="shared" si="181"/>
        <v>1</v>
      </c>
      <c r="EA70" s="2" t="b">
        <f t="shared" si="182"/>
        <v>1</v>
      </c>
      <c r="EB70"/>
    </row>
    <row r="71" spans="1:132" s="108" customFormat="1" ht="18.5" hidden="1" thickBot="1" x14ac:dyDescent="0.45">
      <c r="A71" s="109"/>
      <c r="B71" s="88" t="str">
        <f t="shared" si="80"/>
        <v>-</v>
      </c>
      <c r="C71" s="118">
        <v>52</v>
      </c>
      <c r="D71" s="794"/>
      <c r="E71" s="795"/>
      <c r="F71" s="566"/>
      <c r="G71" s="567"/>
      <c r="H71" s="568"/>
      <c r="I71" s="558"/>
      <c r="J71" s="559"/>
      <c r="K71" s="560"/>
      <c r="L71" s="560"/>
      <c r="M71" s="560"/>
      <c r="N71" s="561"/>
      <c r="O71" s="562"/>
      <c r="P71" s="563"/>
      <c r="Q71" s="564"/>
      <c r="R71" s="565"/>
      <c r="S71" s="112" t="str">
        <f t="shared" si="110"/>
        <v/>
      </c>
      <c r="T71" s="113" t="str">
        <f t="shared" si="111"/>
        <v/>
      </c>
      <c r="U71" s="114">
        <f t="shared" si="112"/>
        <v>0</v>
      </c>
      <c r="V71" s="117" t="str">
        <f t="shared" si="113"/>
        <v/>
      </c>
      <c r="W71" s="234" t="str">
        <f t="shared" si="114"/>
        <v/>
      </c>
      <c r="X71" s="115">
        <f t="shared" si="184"/>
        <v>0</v>
      </c>
      <c r="Y71" s="116" t="str">
        <f t="shared" si="115"/>
        <v/>
      </c>
      <c r="Z71" s="111"/>
      <c r="AA71" s="2"/>
      <c r="AB71" s="2">
        <v>52</v>
      </c>
      <c r="AC71" s="22" t="str">
        <f t="shared" si="185"/>
        <v>-</v>
      </c>
      <c r="AD71" s="22">
        <f t="shared" si="186"/>
        <v>0</v>
      </c>
      <c r="AE71" s="22">
        <f t="shared" si="82"/>
        <v>0</v>
      </c>
      <c r="AF71" s="22"/>
      <c r="AG71" s="21">
        <f t="shared" si="83"/>
        <v>0</v>
      </c>
      <c r="AH71" s="6">
        <f t="shared" si="116"/>
        <v>0</v>
      </c>
      <c r="AI71" s="7">
        <f>IF(SUM(AH71:AH$99)=0,0,F71&gt;0)</f>
        <v>0</v>
      </c>
      <c r="AJ71" s="6">
        <f t="shared" si="117"/>
        <v>0</v>
      </c>
      <c r="AK71" s="7">
        <f>IF(SUM(AH71:AH$99)=0,0,AND(AI71=FALSE,AJ71=0,SUM(AJ71:AJ$99)&gt;0))</f>
        <v>0</v>
      </c>
      <c r="AL71" s="7">
        <f t="shared" si="84"/>
        <v>0</v>
      </c>
      <c r="AM71" s="7">
        <f t="shared" si="118"/>
        <v>0</v>
      </c>
      <c r="AN71" s="9">
        <f t="shared" si="119"/>
        <v>0</v>
      </c>
      <c r="AO71" s="9">
        <f t="shared" si="120"/>
        <v>0</v>
      </c>
      <c r="AP71" s="486">
        <f t="shared" si="121"/>
        <v>0</v>
      </c>
      <c r="AQ71" s="486">
        <f t="shared" si="85"/>
        <v>0</v>
      </c>
      <c r="AR71" s="7">
        <f t="shared" si="122"/>
        <v>0</v>
      </c>
      <c r="AS71" s="7" t="str">
        <f t="shared" si="86"/>
        <v/>
      </c>
      <c r="AT71" s="7">
        <f t="shared" si="123"/>
        <v>0</v>
      </c>
      <c r="AU71" s="485">
        <f t="shared" si="87"/>
        <v>0</v>
      </c>
      <c r="AV71" s="7">
        <f t="shared" si="124"/>
        <v>0</v>
      </c>
      <c r="AW71" s="7">
        <f t="shared" si="125"/>
        <v>0</v>
      </c>
      <c r="AX71" s="7">
        <f t="shared" si="126"/>
        <v>0</v>
      </c>
      <c r="AY71" s="484">
        <f t="shared" si="88"/>
        <v>0</v>
      </c>
      <c r="AZ71" s="7">
        <f t="shared" si="127"/>
        <v>0</v>
      </c>
      <c r="BA71" s="483">
        <f t="shared" si="89"/>
        <v>0</v>
      </c>
      <c r="BB71" s="487" t="str">
        <f t="shared" si="90"/>
        <v/>
      </c>
      <c r="BC71" s="487" t="str">
        <f t="shared" si="91"/>
        <v/>
      </c>
      <c r="BD71" s="7">
        <f t="shared" si="128"/>
        <v>0</v>
      </c>
      <c r="BE71" s="7">
        <f t="shared" si="129"/>
        <v>0</v>
      </c>
      <c r="BF71" s="7">
        <f t="shared" si="130"/>
        <v>0</v>
      </c>
      <c r="BG71" s="8" t="b">
        <f t="shared" si="131"/>
        <v>0</v>
      </c>
      <c r="BH71" s="235" t="str">
        <f t="shared" si="132"/>
        <v/>
      </c>
      <c r="BI71" s="75">
        <f t="shared" si="133"/>
        <v>0</v>
      </c>
      <c r="BJ71" s="15">
        <f t="shared" si="134"/>
        <v>0</v>
      </c>
      <c r="BK71" s="15">
        <f t="shared" si="187"/>
        <v>0</v>
      </c>
      <c r="BL71" s="18">
        <f t="shared" si="135"/>
        <v>0</v>
      </c>
      <c r="BM71" s="78">
        <f t="shared" si="136"/>
        <v>0</v>
      </c>
      <c r="BN71" s="14">
        <f t="shared" si="137"/>
        <v>0</v>
      </c>
      <c r="BO71" s="14">
        <f t="shared" si="138"/>
        <v>0</v>
      </c>
      <c r="BP71" s="15">
        <f t="shared" si="188"/>
        <v>0</v>
      </c>
      <c r="BQ71" s="73">
        <f t="shared" si="139"/>
        <v>0</v>
      </c>
      <c r="BR71" s="13"/>
      <c r="BS71" s="75">
        <f t="shared" si="106"/>
        <v>0</v>
      </c>
      <c r="BT71" s="15">
        <f t="shared" si="107"/>
        <v>0</v>
      </c>
      <c r="BU71" s="15">
        <f t="shared" si="108"/>
        <v>0</v>
      </c>
      <c r="BV71" s="17">
        <f t="shared" si="109"/>
        <v>0</v>
      </c>
      <c r="BW71" s="72">
        <f t="shared" si="140"/>
        <v>0</v>
      </c>
      <c r="BX71" s="14">
        <f t="shared" si="141"/>
        <v>0</v>
      </c>
      <c r="BY71" s="15">
        <f t="shared" si="189"/>
        <v>0</v>
      </c>
      <c r="BZ71" s="14">
        <f t="shared" si="98"/>
        <v>0</v>
      </c>
      <c r="CA71" s="73">
        <f t="shared" si="142"/>
        <v>0</v>
      </c>
      <c r="CB71" s="192" t="e">
        <f t="shared" si="143"/>
        <v>#DIV/0!</v>
      </c>
      <c r="CC71" s="72" t="e">
        <f t="shared" si="144"/>
        <v>#DIV/0!</v>
      </c>
      <c r="CD71" s="14">
        <f t="shared" si="145"/>
        <v>0</v>
      </c>
      <c r="CE71" s="19">
        <f t="shared" si="183"/>
        <v>0</v>
      </c>
      <c r="CF71" s="19">
        <f t="shared" si="146"/>
        <v>0</v>
      </c>
      <c r="CG71" s="20" t="e">
        <f t="shared" si="147"/>
        <v>#DIV/0!</v>
      </c>
      <c r="CH71" s="20" t="e">
        <f t="shared" si="148"/>
        <v>#DIV/0!</v>
      </c>
      <c r="CI71" s="83" t="e">
        <f t="shared" si="190"/>
        <v>#DIV/0!</v>
      </c>
      <c r="CJ71" s="77" t="e">
        <f t="shared" si="149"/>
        <v>#DIV/0!</v>
      </c>
      <c r="CK71" s="2" t="e">
        <f t="shared" si="101"/>
        <v>#DIV/0!</v>
      </c>
      <c r="CL71" s="2" t="str">
        <f t="shared" si="150"/>
        <v/>
      </c>
      <c r="CM71" s="231" t="e">
        <f t="shared" si="102"/>
        <v>#DIV/0!</v>
      </c>
      <c r="CN71" s="233" t="e">
        <f t="shared" si="103"/>
        <v>#DIV/0!</v>
      </c>
      <c r="CO71" s="233">
        <f t="shared" si="104"/>
        <v>0</v>
      </c>
      <c r="CP71" s="2">
        <f t="shared" si="151"/>
        <v>1</v>
      </c>
      <c r="CQ71" s="2">
        <f t="shared" si="152"/>
        <v>1</v>
      </c>
      <c r="CR71" s="2" t="str">
        <f t="shared" si="153"/>
        <v/>
      </c>
      <c r="CS71" s="2">
        <f t="shared" si="154"/>
        <v>0</v>
      </c>
      <c r="CT71" s="191">
        <f t="shared" si="155"/>
        <v>0</v>
      </c>
      <c r="CU71" s="2" t="str">
        <f t="shared" si="156"/>
        <v>OK</v>
      </c>
      <c r="CV71" s="232">
        <f t="shared" si="157"/>
        <v>0.05</v>
      </c>
      <c r="CW71" s="191" t="e">
        <f t="shared" si="158"/>
        <v>#DIV/0!</v>
      </c>
      <c r="CX71" s="191" t="e">
        <f t="shared" si="159"/>
        <v>#DIV/0!</v>
      </c>
      <c r="CY71" s="191" t="e">
        <f t="shared" si="160"/>
        <v>#DIV/0!</v>
      </c>
      <c r="CZ71" s="191" t="e">
        <f t="shared" si="161"/>
        <v>#DIV/0!</v>
      </c>
      <c r="DA71" s="191">
        <f t="shared" si="162"/>
        <v>1</v>
      </c>
      <c r="DB71" s="191">
        <f t="shared" si="163"/>
        <v>0</v>
      </c>
      <c r="DC71" s="2" t="str">
        <f t="shared" si="164"/>
        <v>Soft</v>
      </c>
      <c r="DD71" s="2"/>
      <c r="DE71" s="2">
        <f t="shared" si="165"/>
        <v>0</v>
      </c>
      <c r="DF71" s="191" t="e">
        <f t="shared" si="166"/>
        <v>#DIV/0!</v>
      </c>
      <c r="DG71" s="191" t="e">
        <f t="shared" si="167"/>
        <v>#DIV/0!</v>
      </c>
      <c r="DH71" s="191" t="e">
        <f t="shared" si="168"/>
        <v>#DIV/0!</v>
      </c>
      <c r="DI71" s="191" t="e">
        <f t="shared" si="169"/>
        <v>#DIV/0!</v>
      </c>
      <c r="DJ71" s="191" t="e">
        <f t="shared" si="105"/>
        <v>#DIV/0!</v>
      </c>
      <c r="DK71" s="2"/>
      <c r="DL71" s="2"/>
      <c r="DM71" s="2"/>
      <c r="DN71" s="2">
        <f t="shared" si="170"/>
        <v>1</v>
      </c>
      <c r="DO71" s="191" t="e">
        <f t="shared" si="171"/>
        <v>#DIV/0!</v>
      </c>
      <c r="DP71" s="191" t="e">
        <f t="shared" si="172"/>
        <v>#DIV/0!</v>
      </c>
      <c r="DQ71" s="191" t="e">
        <f t="shared" si="173"/>
        <v>#DIV/0!</v>
      </c>
      <c r="DR71" s="191" t="e">
        <f t="shared" si="174"/>
        <v>#DIV/0!</v>
      </c>
      <c r="DS71" s="191" t="e">
        <f t="shared" si="175"/>
        <v>#DIV/0!</v>
      </c>
      <c r="DT71" s="191" t="e">
        <f t="shared" si="176"/>
        <v>#DIV/0!</v>
      </c>
      <c r="DU71" s="191">
        <f t="shared" si="177"/>
        <v>0</v>
      </c>
      <c r="DV71" s="2"/>
      <c r="DW71" s="2" t="b">
        <f t="shared" si="178"/>
        <v>1</v>
      </c>
      <c r="DX71" s="2" t="b">
        <f t="shared" si="179"/>
        <v>1</v>
      </c>
      <c r="DY71" s="2" t="b">
        <f t="shared" si="180"/>
        <v>1</v>
      </c>
      <c r="DZ71" s="2" t="b">
        <f t="shared" si="181"/>
        <v>1</v>
      </c>
      <c r="EA71" s="2" t="b">
        <f t="shared" si="182"/>
        <v>1</v>
      </c>
      <c r="EB71"/>
    </row>
    <row r="72" spans="1:132" s="108" customFormat="1" ht="18.5" hidden="1" thickBot="1" x14ac:dyDescent="0.45">
      <c r="A72" s="109"/>
      <c r="B72" s="88" t="str">
        <f t="shared" si="80"/>
        <v>-</v>
      </c>
      <c r="C72" s="118">
        <v>53</v>
      </c>
      <c r="D72" s="794"/>
      <c r="E72" s="795"/>
      <c r="F72" s="566"/>
      <c r="G72" s="567"/>
      <c r="H72" s="568"/>
      <c r="I72" s="558"/>
      <c r="J72" s="559"/>
      <c r="K72" s="560"/>
      <c r="L72" s="560"/>
      <c r="M72" s="560"/>
      <c r="N72" s="561"/>
      <c r="O72" s="562"/>
      <c r="P72" s="563"/>
      <c r="Q72" s="564"/>
      <c r="R72" s="565"/>
      <c r="S72" s="112" t="str">
        <f t="shared" si="110"/>
        <v/>
      </c>
      <c r="T72" s="113" t="str">
        <f t="shared" si="111"/>
        <v/>
      </c>
      <c r="U72" s="114">
        <f t="shared" si="112"/>
        <v>0</v>
      </c>
      <c r="V72" s="117" t="str">
        <f t="shared" si="113"/>
        <v/>
      </c>
      <c r="W72" s="234" t="str">
        <f t="shared" si="114"/>
        <v/>
      </c>
      <c r="X72" s="115">
        <f t="shared" si="184"/>
        <v>0</v>
      </c>
      <c r="Y72" s="116" t="str">
        <f t="shared" si="115"/>
        <v/>
      </c>
      <c r="Z72" s="111"/>
      <c r="AA72" s="2"/>
      <c r="AB72" s="2">
        <v>53</v>
      </c>
      <c r="AC72" s="22" t="str">
        <f t="shared" si="185"/>
        <v>-</v>
      </c>
      <c r="AD72" s="22">
        <f t="shared" si="186"/>
        <v>0</v>
      </c>
      <c r="AE72" s="22">
        <f t="shared" si="82"/>
        <v>0</v>
      </c>
      <c r="AF72" s="22"/>
      <c r="AG72" s="21">
        <f t="shared" si="83"/>
        <v>0</v>
      </c>
      <c r="AH72" s="6">
        <f t="shared" si="116"/>
        <v>0</v>
      </c>
      <c r="AI72" s="7">
        <f>IF(SUM(AH72:AH$99)=0,0,F72&gt;0)</f>
        <v>0</v>
      </c>
      <c r="AJ72" s="6">
        <f t="shared" si="117"/>
        <v>0</v>
      </c>
      <c r="AK72" s="7">
        <f>IF(SUM(AH72:AH$99)=0,0,AND(AI72=FALSE,AJ72=0,SUM(AJ72:AJ$99)&gt;0))</f>
        <v>0</v>
      </c>
      <c r="AL72" s="7">
        <f t="shared" si="84"/>
        <v>0</v>
      </c>
      <c r="AM72" s="7">
        <f t="shared" si="118"/>
        <v>0</v>
      </c>
      <c r="AN72" s="9">
        <f t="shared" si="119"/>
        <v>0</v>
      </c>
      <c r="AO72" s="9">
        <f t="shared" si="120"/>
        <v>0</v>
      </c>
      <c r="AP72" s="486">
        <f t="shared" si="121"/>
        <v>0</v>
      </c>
      <c r="AQ72" s="486">
        <f t="shared" si="85"/>
        <v>0</v>
      </c>
      <c r="AR72" s="7">
        <f t="shared" si="122"/>
        <v>0</v>
      </c>
      <c r="AS72" s="7" t="str">
        <f t="shared" si="86"/>
        <v/>
      </c>
      <c r="AT72" s="7">
        <f t="shared" si="123"/>
        <v>0</v>
      </c>
      <c r="AU72" s="485">
        <f t="shared" si="87"/>
        <v>0</v>
      </c>
      <c r="AV72" s="7">
        <f t="shared" si="124"/>
        <v>0</v>
      </c>
      <c r="AW72" s="7">
        <f t="shared" si="125"/>
        <v>0</v>
      </c>
      <c r="AX72" s="7">
        <f t="shared" si="126"/>
        <v>0</v>
      </c>
      <c r="AY72" s="484">
        <f t="shared" si="88"/>
        <v>0</v>
      </c>
      <c r="AZ72" s="7">
        <f t="shared" si="127"/>
        <v>0</v>
      </c>
      <c r="BA72" s="483">
        <f t="shared" si="89"/>
        <v>0</v>
      </c>
      <c r="BB72" s="487" t="str">
        <f t="shared" si="90"/>
        <v/>
      </c>
      <c r="BC72" s="487" t="str">
        <f t="shared" si="91"/>
        <v/>
      </c>
      <c r="BD72" s="7">
        <f t="shared" si="128"/>
        <v>0</v>
      </c>
      <c r="BE72" s="7">
        <f t="shared" si="129"/>
        <v>0</v>
      </c>
      <c r="BF72" s="7">
        <f t="shared" si="130"/>
        <v>0</v>
      </c>
      <c r="BG72" s="8" t="b">
        <f t="shared" si="131"/>
        <v>0</v>
      </c>
      <c r="BH72" s="235" t="str">
        <f t="shared" si="132"/>
        <v/>
      </c>
      <c r="BI72" s="75">
        <f t="shared" si="133"/>
        <v>0</v>
      </c>
      <c r="BJ72" s="15">
        <f t="shared" si="134"/>
        <v>0</v>
      </c>
      <c r="BK72" s="15">
        <f t="shared" si="187"/>
        <v>0</v>
      </c>
      <c r="BL72" s="18">
        <f t="shared" si="135"/>
        <v>0</v>
      </c>
      <c r="BM72" s="78">
        <f t="shared" si="136"/>
        <v>0</v>
      </c>
      <c r="BN72" s="14">
        <f t="shared" si="137"/>
        <v>0</v>
      </c>
      <c r="BO72" s="14">
        <f t="shared" si="138"/>
        <v>0</v>
      </c>
      <c r="BP72" s="15">
        <f t="shared" si="188"/>
        <v>0</v>
      </c>
      <c r="BQ72" s="73">
        <f t="shared" si="139"/>
        <v>0</v>
      </c>
      <c r="BR72" s="13"/>
      <c r="BS72" s="75">
        <f t="shared" si="106"/>
        <v>0</v>
      </c>
      <c r="BT72" s="15">
        <f t="shared" si="107"/>
        <v>0</v>
      </c>
      <c r="BU72" s="15">
        <f t="shared" si="108"/>
        <v>0</v>
      </c>
      <c r="BV72" s="17">
        <f t="shared" si="109"/>
        <v>0</v>
      </c>
      <c r="BW72" s="72">
        <f t="shared" si="140"/>
        <v>0</v>
      </c>
      <c r="BX72" s="14">
        <f t="shared" si="141"/>
        <v>0</v>
      </c>
      <c r="BY72" s="15">
        <f t="shared" si="189"/>
        <v>0</v>
      </c>
      <c r="BZ72" s="14">
        <f t="shared" si="98"/>
        <v>0</v>
      </c>
      <c r="CA72" s="73">
        <f t="shared" si="142"/>
        <v>0</v>
      </c>
      <c r="CB72" s="192" t="e">
        <f t="shared" si="143"/>
        <v>#DIV/0!</v>
      </c>
      <c r="CC72" s="72" t="e">
        <f t="shared" si="144"/>
        <v>#DIV/0!</v>
      </c>
      <c r="CD72" s="14">
        <f t="shared" si="145"/>
        <v>0</v>
      </c>
      <c r="CE72" s="19">
        <f t="shared" si="183"/>
        <v>0</v>
      </c>
      <c r="CF72" s="19">
        <f t="shared" si="146"/>
        <v>0</v>
      </c>
      <c r="CG72" s="20" t="e">
        <f t="shared" si="147"/>
        <v>#DIV/0!</v>
      </c>
      <c r="CH72" s="20" t="e">
        <f t="shared" si="148"/>
        <v>#DIV/0!</v>
      </c>
      <c r="CI72" s="83" t="e">
        <f t="shared" si="190"/>
        <v>#DIV/0!</v>
      </c>
      <c r="CJ72" s="77" t="e">
        <f t="shared" si="149"/>
        <v>#DIV/0!</v>
      </c>
      <c r="CK72" s="2" t="e">
        <f t="shared" si="101"/>
        <v>#DIV/0!</v>
      </c>
      <c r="CL72" s="2" t="str">
        <f t="shared" si="150"/>
        <v/>
      </c>
      <c r="CM72" s="231" t="e">
        <f t="shared" si="102"/>
        <v>#DIV/0!</v>
      </c>
      <c r="CN72" s="233" t="e">
        <f t="shared" si="103"/>
        <v>#DIV/0!</v>
      </c>
      <c r="CO72" s="233">
        <f t="shared" si="104"/>
        <v>0</v>
      </c>
      <c r="CP72" s="2">
        <f t="shared" si="151"/>
        <v>1</v>
      </c>
      <c r="CQ72" s="2">
        <f t="shared" si="152"/>
        <v>1</v>
      </c>
      <c r="CR72" s="2" t="str">
        <f t="shared" si="153"/>
        <v/>
      </c>
      <c r="CS72" s="2">
        <f t="shared" si="154"/>
        <v>0</v>
      </c>
      <c r="CT72" s="191">
        <f t="shared" si="155"/>
        <v>0</v>
      </c>
      <c r="CU72" s="2" t="str">
        <f t="shared" si="156"/>
        <v>OK</v>
      </c>
      <c r="CV72" s="232">
        <f t="shared" si="157"/>
        <v>0.05</v>
      </c>
      <c r="CW72" s="191" t="e">
        <f t="shared" si="158"/>
        <v>#DIV/0!</v>
      </c>
      <c r="CX72" s="191" t="e">
        <f t="shared" si="159"/>
        <v>#DIV/0!</v>
      </c>
      <c r="CY72" s="191" t="e">
        <f t="shared" si="160"/>
        <v>#DIV/0!</v>
      </c>
      <c r="CZ72" s="191" t="e">
        <f t="shared" si="161"/>
        <v>#DIV/0!</v>
      </c>
      <c r="DA72" s="191">
        <f t="shared" si="162"/>
        <v>1</v>
      </c>
      <c r="DB72" s="191">
        <f t="shared" si="163"/>
        <v>0</v>
      </c>
      <c r="DC72" s="2" t="str">
        <f t="shared" si="164"/>
        <v>Soft</v>
      </c>
      <c r="DD72" s="2"/>
      <c r="DE72" s="2">
        <f t="shared" si="165"/>
        <v>0</v>
      </c>
      <c r="DF72" s="191" t="e">
        <f t="shared" si="166"/>
        <v>#DIV/0!</v>
      </c>
      <c r="DG72" s="191" t="e">
        <f t="shared" si="167"/>
        <v>#DIV/0!</v>
      </c>
      <c r="DH72" s="191" t="e">
        <f t="shared" si="168"/>
        <v>#DIV/0!</v>
      </c>
      <c r="DI72" s="191" t="e">
        <f t="shared" si="169"/>
        <v>#DIV/0!</v>
      </c>
      <c r="DJ72" s="191" t="e">
        <f t="shared" si="105"/>
        <v>#DIV/0!</v>
      </c>
      <c r="DK72" s="2"/>
      <c r="DL72" s="2"/>
      <c r="DM72" s="2"/>
      <c r="DN72" s="2">
        <f t="shared" si="170"/>
        <v>1</v>
      </c>
      <c r="DO72" s="191" t="e">
        <f t="shared" si="171"/>
        <v>#DIV/0!</v>
      </c>
      <c r="DP72" s="191" t="e">
        <f t="shared" si="172"/>
        <v>#DIV/0!</v>
      </c>
      <c r="DQ72" s="191" t="e">
        <f t="shared" si="173"/>
        <v>#DIV/0!</v>
      </c>
      <c r="DR72" s="191" t="e">
        <f t="shared" si="174"/>
        <v>#DIV/0!</v>
      </c>
      <c r="DS72" s="191" t="e">
        <f t="shared" si="175"/>
        <v>#DIV/0!</v>
      </c>
      <c r="DT72" s="191" t="e">
        <f t="shared" si="176"/>
        <v>#DIV/0!</v>
      </c>
      <c r="DU72" s="191">
        <f t="shared" si="177"/>
        <v>0</v>
      </c>
      <c r="DV72" s="2"/>
      <c r="DW72" s="2" t="b">
        <f t="shared" si="178"/>
        <v>1</v>
      </c>
      <c r="DX72" s="2" t="b">
        <f t="shared" si="179"/>
        <v>1</v>
      </c>
      <c r="DY72" s="2" t="b">
        <f t="shared" si="180"/>
        <v>1</v>
      </c>
      <c r="DZ72" s="2" t="b">
        <f t="shared" si="181"/>
        <v>1</v>
      </c>
      <c r="EA72" s="2" t="b">
        <f t="shared" si="182"/>
        <v>1</v>
      </c>
      <c r="EB72"/>
    </row>
    <row r="73" spans="1:132" s="108" customFormat="1" ht="18.5" hidden="1" thickBot="1" x14ac:dyDescent="0.45">
      <c r="A73" s="109"/>
      <c r="B73" s="88" t="str">
        <f t="shared" si="80"/>
        <v>-</v>
      </c>
      <c r="C73" s="118">
        <v>54</v>
      </c>
      <c r="D73" s="794"/>
      <c r="E73" s="795"/>
      <c r="F73" s="566"/>
      <c r="G73" s="567"/>
      <c r="H73" s="568"/>
      <c r="I73" s="558"/>
      <c r="J73" s="559"/>
      <c r="K73" s="560"/>
      <c r="L73" s="560"/>
      <c r="M73" s="560"/>
      <c r="N73" s="561"/>
      <c r="O73" s="562"/>
      <c r="P73" s="563"/>
      <c r="Q73" s="564"/>
      <c r="R73" s="565"/>
      <c r="S73" s="112" t="str">
        <f t="shared" si="110"/>
        <v/>
      </c>
      <c r="T73" s="113" t="str">
        <f t="shared" si="111"/>
        <v/>
      </c>
      <c r="U73" s="114">
        <f t="shared" si="112"/>
        <v>0</v>
      </c>
      <c r="V73" s="117" t="str">
        <f t="shared" si="113"/>
        <v/>
      </c>
      <c r="W73" s="234" t="str">
        <f t="shared" si="114"/>
        <v/>
      </c>
      <c r="X73" s="115">
        <f t="shared" si="184"/>
        <v>0</v>
      </c>
      <c r="Y73" s="116" t="str">
        <f t="shared" si="115"/>
        <v/>
      </c>
      <c r="Z73" s="111"/>
      <c r="AA73" s="2"/>
      <c r="AB73" s="2">
        <v>54</v>
      </c>
      <c r="AC73" s="22" t="str">
        <f t="shared" si="185"/>
        <v>-</v>
      </c>
      <c r="AD73" s="22">
        <f t="shared" si="186"/>
        <v>0</v>
      </c>
      <c r="AE73" s="22">
        <f t="shared" si="82"/>
        <v>0</v>
      </c>
      <c r="AF73" s="22"/>
      <c r="AG73" s="21">
        <f t="shared" si="83"/>
        <v>0</v>
      </c>
      <c r="AH73" s="6">
        <f t="shared" si="116"/>
        <v>0</v>
      </c>
      <c r="AI73" s="7">
        <f>IF(SUM(AH73:AH$99)=0,0,F73&gt;0)</f>
        <v>0</v>
      </c>
      <c r="AJ73" s="6">
        <f t="shared" si="117"/>
        <v>0</v>
      </c>
      <c r="AK73" s="7">
        <f>IF(SUM(AH73:AH$99)=0,0,AND(AI73=FALSE,AJ73=0,SUM(AJ73:AJ$99)&gt;0))</f>
        <v>0</v>
      </c>
      <c r="AL73" s="7">
        <f t="shared" si="84"/>
        <v>0</v>
      </c>
      <c r="AM73" s="7">
        <f t="shared" si="118"/>
        <v>0</v>
      </c>
      <c r="AN73" s="9">
        <f t="shared" si="119"/>
        <v>0</v>
      </c>
      <c r="AO73" s="9">
        <f t="shared" si="120"/>
        <v>0</v>
      </c>
      <c r="AP73" s="486">
        <f t="shared" si="121"/>
        <v>0</v>
      </c>
      <c r="AQ73" s="486">
        <f t="shared" si="85"/>
        <v>0</v>
      </c>
      <c r="AR73" s="7">
        <f t="shared" si="122"/>
        <v>0</v>
      </c>
      <c r="AS73" s="7" t="str">
        <f t="shared" si="86"/>
        <v/>
      </c>
      <c r="AT73" s="7">
        <f t="shared" si="123"/>
        <v>0</v>
      </c>
      <c r="AU73" s="485">
        <f t="shared" si="87"/>
        <v>0</v>
      </c>
      <c r="AV73" s="7">
        <f t="shared" si="124"/>
        <v>0</v>
      </c>
      <c r="AW73" s="7">
        <f t="shared" si="125"/>
        <v>0</v>
      </c>
      <c r="AX73" s="7">
        <f t="shared" si="126"/>
        <v>0</v>
      </c>
      <c r="AY73" s="484">
        <f t="shared" si="88"/>
        <v>0</v>
      </c>
      <c r="AZ73" s="7">
        <f t="shared" si="127"/>
        <v>0</v>
      </c>
      <c r="BA73" s="483">
        <f t="shared" si="89"/>
        <v>0</v>
      </c>
      <c r="BB73" s="487" t="str">
        <f t="shared" si="90"/>
        <v/>
      </c>
      <c r="BC73" s="487" t="str">
        <f t="shared" si="91"/>
        <v/>
      </c>
      <c r="BD73" s="7">
        <f t="shared" si="128"/>
        <v>0</v>
      </c>
      <c r="BE73" s="7">
        <f t="shared" si="129"/>
        <v>0</v>
      </c>
      <c r="BF73" s="7">
        <f t="shared" si="130"/>
        <v>0</v>
      </c>
      <c r="BG73" s="8" t="b">
        <f t="shared" si="131"/>
        <v>0</v>
      </c>
      <c r="BH73" s="235" t="str">
        <f t="shared" si="132"/>
        <v/>
      </c>
      <c r="BI73" s="75">
        <f t="shared" si="133"/>
        <v>0</v>
      </c>
      <c r="BJ73" s="15">
        <f t="shared" si="134"/>
        <v>0</v>
      </c>
      <c r="BK73" s="15">
        <f t="shared" si="187"/>
        <v>0</v>
      </c>
      <c r="BL73" s="18">
        <f t="shared" si="135"/>
        <v>0</v>
      </c>
      <c r="BM73" s="78">
        <f t="shared" si="136"/>
        <v>0</v>
      </c>
      <c r="BN73" s="14">
        <f t="shared" si="137"/>
        <v>0</v>
      </c>
      <c r="BO73" s="14">
        <f t="shared" si="138"/>
        <v>0</v>
      </c>
      <c r="BP73" s="15">
        <f t="shared" si="188"/>
        <v>0</v>
      </c>
      <c r="BQ73" s="73">
        <f t="shared" si="139"/>
        <v>0</v>
      </c>
      <c r="BR73" s="13"/>
      <c r="BS73" s="75">
        <f t="shared" si="106"/>
        <v>0</v>
      </c>
      <c r="BT73" s="15">
        <f t="shared" si="107"/>
        <v>0</v>
      </c>
      <c r="BU73" s="15">
        <f t="shared" si="108"/>
        <v>0</v>
      </c>
      <c r="BV73" s="17">
        <f t="shared" si="109"/>
        <v>0</v>
      </c>
      <c r="BW73" s="72">
        <f t="shared" si="140"/>
        <v>0</v>
      </c>
      <c r="BX73" s="14">
        <f t="shared" si="141"/>
        <v>0</v>
      </c>
      <c r="BY73" s="15">
        <f t="shared" si="189"/>
        <v>0</v>
      </c>
      <c r="BZ73" s="14">
        <f t="shared" si="98"/>
        <v>0</v>
      </c>
      <c r="CA73" s="73">
        <f t="shared" si="142"/>
        <v>0</v>
      </c>
      <c r="CB73" s="192" t="e">
        <f t="shared" si="143"/>
        <v>#DIV/0!</v>
      </c>
      <c r="CC73" s="72" t="e">
        <f t="shared" si="144"/>
        <v>#DIV/0!</v>
      </c>
      <c r="CD73" s="14">
        <f t="shared" si="145"/>
        <v>0</v>
      </c>
      <c r="CE73" s="19">
        <f t="shared" si="183"/>
        <v>0</v>
      </c>
      <c r="CF73" s="19">
        <f t="shared" si="146"/>
        <v>0</v>
      </c>
      <c r="CG73" s="20" t="e">
        <f t="shared" si="147"/>
        <v>#DIV/0!</v>
      </c>
      <c r="CH73" s="20" t="e">
        <f t="shared" si="148"/>
        <v>#DIV/0!</v>
      </c>
      <c r="CI73" s="83" t="e">
        <f t="shared" si="190"/>
        <v>#DIV/0!</v>
      </c>
      <c r="CJ73" s="77" t="e">
        <f t="shared" si="149"/>
        <v>#DIV/0!</v>
      </c>
      <c r="CK73" s="2" t="e">
        <f t="shared" si="101"/>
        <v>#DIV/0!</v>
      </c>
      <c r="CL73" s="2" t="str">
        <f t="shared" si="150"/>
        <v/>
      </c>
      <c r="CM73" s="231" t="e">
        <f t="shared" si="102"/>
        <v>#DIV/0!</v>
      </c>
      <c r="CN73" s="233" t="e">
        <f t="shared" si="103"/>
        <v>#DIV/0!</v>
      </c>
      <c r="CO73" s="233">
        <f t="shared" si="104"/>
        <v>0</v>
      </c>
      <c r="CP73" s="2">
        <f t="shared" si="151"/>
        <v>1</v>
      </c>
      <c r="CQ73" s="2">
        <f t="shared" si="152"/>
        <v>1</v>
      </c>
      <c r="CR73" s="2" t="str">
        <f t="shared" si="153"/>
        <v/>
      </c>
      <c r="CS73" s="2">
        <f t="shared" si="154"/>
        <v>0</v>
      </c>
      <c r="CT73" s="191">
        <f t="shared" si="155"/>
        <v>0</v>
      </c>
      <c r="CU73" s="2" t="str">
        <f t="shared" si="156"/>
        <v>OK</v>
      </c>
      <c r="CV73" s="232">
        <f t="shared" si="157"/>
        <v>0.05</v>
      </c>
      <c r="CW73" s="191" t="e">
        <f t="shared" si="158"/>
        <v>#DIV/0!</v>
      </c>
      <c r="CX73" s="191" t="e">
        <f t="shared" si="159"/>
        <v>#DIV/0!</v>
      </c>
      <c r="CY73" s="191" t="e">
        <f t="shared" si="160"/>
        <v>#DIV/0!</v>
      </c>
      <c r="CZ73" s="191" t="e">
        <f t="shared" si="161"/>
        <v>#DIV/0!</v>
      </c>
      <c r="DA73" s="191">
        <f t="shared" si="162"/>
        <v>1</v>
      </c>
      <c r="DB73" s="191">
        <f t="shared" si="163"/>
        <v>0</v>
      </c>
      <c r="DC73" s="2" t="str">
        <f t="shared" si="164"/>
        <v>Soft</v>
      </c>
      <c r="DD73" s="2"/>
      <c r="DE73" s="2">
        <f t="shared" si="165"/>
        <v>0</v>
      </c>
      <c r="DF73" s="191" t="e">
        <f t="shared" si="166"/>
        <v>#DIV/0!</v>
      </c>
      <c r="DG73" s="191" t="e">
        <f t="shared" si="167"/>
        <v>#DIV/0!</v>
      </c>
      <c r="DH73" s="191" t="e">
        <f t="shared" si="168"/>
        <v>#DIV/0!</v>
      </c>
      <c r="DI73" s="191" t="e">
        <f t="shared" si="169"/>
        <v>#DIV/0!</v>
      </c>
      <c r="DJ73" s="191" t="e">
        <f t="shared" si="105"/>
        <v>#DIV/0!</v>
      </c>
      <c r="DK73" s="2"/>
      <c r="DL73" s="2"/>
      <c r="DM73" s="2"/>
      <c r="DN73" s="2">
        <f t="shared" si="170"/>
        <v>1</v>
      </c>
      <c r="DO73" s="191" t="e">
        <f t="shared" si="171"/>
        <v>#DIV/0!</v>
      </c>
      <c r="DP73" s="191" t="e">
        <f t="shared" si="172"/>
        <v>#DIV/0!</v>
      </c>
      <c r="DQ73" s="191" t="e">
        <f t="shared" si="173"/>
        <v>#DIV/0!</v>
      </c>
      <c r="DR73" s="191" t="e">
        <f t="shared" si="174"/>
        <v>#DIV/0!</v>
      </c>
      <c r="DS73" s="191" t="e">
        <f t="shared" si="175"/>
        <v>#DIV/0!</v>
      </c>
      <c r="DT73" s="191" t="e">
        <f t="shared" si="176"/>
        <v>#DIV/0!</v>
      </c>
      <c r="DU73" s="191">
        <f t="shared" si="177"/>
        <v>0</v>
      </c>
      <c r="DV73" s="2"/>
      <c r="DW73" s="2" t="b">
        <f t="shared" si="178"/>
        <v>1</v>
      </c>
      <c r="DX73" s="2" t="b">
        <f t="shared" si="179"/>
        <v>1</v>
      </c>
      <c r="DY73" s="2" t="b">
        <f t="shared" si="180"/>
        <v>1</v>
      </c>
      <c r="DZ73" s="2" t="b">
        <f t="shared" si="181"/>
        <v>1</v>
      </c>
      <c r="EA73" s="2" t="b">
        <f t="shared" si="182"/>
        <v>1</v>
      </c>
      <c r="EB73"/>
    </row>
    <row r="74" spans="1:132" s="108" customFormat="1" ht="18.5" hidden="1" thickBot="1" x14ac:dyDescent="0.45">
      <c r="A74" s="109"/>
      <c r="B74" s="88" t="str">
        <f t="shared" si="80"/>
        <v>-</v>
      </c>
      <c r="C74" s="118">
        <v>55</v>
      </c>
      <c r="D74" s="794"/>
      <c r="E74" s="795"/>
      <c r="F74" s="566"/>
      <c r="G74" s="567"/>
      <c r="H74" s="568"/>
      <c r="I74" s="558"/>
      <c r="J74" s="559"/>
      <c r="K74" s="560"/>
      <c r="L74" s="560"/>
      <c r="M74" s="560"/>
      <c r="N74" s="561"/>
      <c r="O74" s="562"/>
      <c r="P74" s="563"/>
      <c r="Q74" s="564"/>
      <c r="R74" s="565"/>
      <c r="S74" s="112" t="str">
        <f t="shared" si="110"/>
        <v/>
      </c>
      <c r="T74" s="113" t="str">
        <f t="shared" si="111"/>
        <v/>
      </c>
      <c r="U74" s="114">
        <f t="shared" si="112"/>
        <v>0</v>
      </c>
      <c r="V74" s="117" t="str">
        <f t="shared" si="113"/>
        <v/>
      </c>
      <c r="W74" s="234" t="str">
        <f t="shared" si="114"/>
        <v/>
      </c>
      <c r="X74" s="115">
        <f t="shared" si="184"/>
        <v>0</v>
      </c>
      <c r="Y74" s="116" t="str">
        <f t="shared" si="115"/>
        <v/>
      </c>
      <c r="Z74" s="111"/>
      <c r="AA74" s="2"/>
      <c r="AB74" s="2">
        <v>55</v>
      </c>
      <c r="AC74" s="22" t="str">
        <f t="shared" si="185"/>
        <v>-</v>
      </c>
      <c r="AD74" s="22">
        <f t="shared" si="186"/>
        <v>0</v>
      </c>
      <c r="AE74" s="22">
        <f t="shared" si="82"/>
        <v>0</v>
      </c>
      <c r="AF74" s="22"/>
      <c r="AG74" s="21">
        <f t="shared" si="83"/>
        <v>0</v>
      </c>
      <c r="AH74" s="6">
        <f t="shared" si="116"/>
        <v>0</v>
      </c>
      <c r="AI74" s="7">
        <f>IF(SUM(AH74:AH$99)=0,0,F74&gt;0)</f>
        <v>0</v>
      </c>
      <c r="AJ74" s="6">
        <f t="shared" si="117"/>
        <v>0</v>
      </c>
      <c r="AK74" s="7">
        <f>IF(SUM(AH74:AH$99)=0,0,AND(AI74=FALSE,AJ74=0,SUM(AJ74:AJ$99)&gt;0))</f>
        <v>0</v>
      </c>
      <c r="AL74" s="7">
        <f t="shared" si="84"/>
        <v>0</v>
      </c>
      <c r="AM74" s="7">
        <f t="shared" si="118"/>
        <v>0</v>
      </c>
      <c r="AN74" s="9">
        <f t="shared" si="119"/>
        <v>0</v>
      </c>
      <c r="AO74" s="9">
        <f t="shared" si="120"/>
        <v>0</v>
      </c>
      <c r="AP74" s="486">
        <f t="shared" si="121"/>
        <v>0</v>
      </c>
      <c r="AQ74" s="486">
        <f t="shared" si="85"/>
        <v>0</v>
      </c>
      <c r="AR74" s="7">
        <f t="shared" si="122"/>
        <v>0</v>
      </c>
      <c r="AS74" s="7" t="str">
        <f t="shared" si="86"/>
        <v/>
      </c>
      <c r="AT74" s="7">
        <f t="shared" si="123"/>
        <v>0</v>
      </c>
      <c r="AU74" s="485">
        <f t="shared" si="87"/>
        <v>0</v>
      </c>
      <c r="AV74" s="7">
        <f t="shared" si="124"/>
        <v>0</v>
      </c>
      <c r="AW74" s="7">
        <f t="shared" si="125"/>
        <v>0</v>
      </c>
      <c r="AX74" s="7">
        <f t="shared" si="126"/>
        <v>0</v>
      </c>
      <c r="AY74" s="484">
        <f t="shared" si="88"/>
        <v>0</v>
      </c>
      <c r="AZ74" s="7">
        <f t="shared" si="127"/>
        <v>0</v>
      </c>
      <c r="BA74" s="483">
        <f t="shared" si="89"/>
        <v>0</v>
      </c>
      <c r="BB74" s="487" t="str">
        <f t="shared" si="90"/>
        <v/>
      </c>
      <c r="BC74" s="487" t="str">
        <f t="shared" si="91"/>
        <v/>
      </c>
      <c r="BD74" s="7">
        <f t="shared" si="128"/>
        <v>0</v>
      </c>
      <c r="BE74" s="7">
        <f t="shared" si="129"/>
        <v>0</v>
      </c>
      <c r="BF74" s="7">
        <f t="shared" si="130"/>
        <v>0</v>
      </c>
      <c r="BG74" s="8" t="b">
        <f t="shared" si="131"/>
        <v>0</v>
      </c>
      <c r="BH74" s="235" t="str">
        <f t="shared" si="132"/>
        <v/>
      </c>
      <c r="BI74" s="75">
        <f t="shared" si="133"/>
        <v>0</v>
      </c>
      <c r="BJ74" s="15">
        <f t="shared" si="134"/>
        <v>0</v>
      </c>
      <c r="BK74" s="15">
        <f t="shared" si="187"/>
        <v>0</v>
      </c>
      <c r="BL74" s="18">
        <f t="shared" si="135"/>
        <v>0</v>
      </c>
      <c r="BM74" s="78">
        <f t="shared" si="136"/>
        <v>0</v>
      </c>
      <c r="BN74" s="14">
        <f t="shared" si="137"/>
        <v>0</v>
      </c>
      <c r="BO74" s="14">
        <f t="shared" si="138"/>
        <v>0</v>
      </c>
      <c r="BP74" s="15">
        <f t="shared" si="188"/>
        <v>0</v>
      </c>
      <c r="BQ74" s="73">
        <f t="shared" si="139"/>
        <v>0</v>
      </c>
      <c r="BR74" s="13"/>
      <c r="BS74" s="75">
        <f t="shared" si="106"/>
        <v>0</v>
      </c>
      <c r="BT74" s="15">
        <f t="shared" si="107"/>
        <v>0</v>
      </c>
      <c r="BU74" s="15">
        <f t="shared" si="108"/>
        <v>0</v>
      </c>
      <c r="BV74" s="17">
        <f t="shared" si="109"/>
        <v>0</v>
      </c>
      <c r="BW74" s="72">
        <f t="shared" si="140"/>
        <v>0</v>
      </c>
      <c r="BX74" s="14">
        <f t="shared" si="141"/>
        <v>0</v>
      </c>
      <c r="BY74" s="15">
        <f t="shared" si="189"/>
        <v>0</v>
      </c>
      <c r="BZ74" s="14">
        <f t="shared" si="98"/>
        <v>0</v>
      </c>
      <c r="CA74" s="73">
        <f t="shared" si="142"/>
        <v>0</v>
      </c>
      <c r="CB74" s="192" t="e">
        <f t="shared" si="143"/>
        <v>#DIV/0!</v>
      </c>
      <c r="CC74" s="72" t="e">
        <f t="shared" si="144"/>
        <v>#DIV/0!</v>
      </c>
      <c r="CD74" s="14">
        <f t="shared" si="145"/>
        <v>0</v>
      </c>
      <c r="CE74" s="19">
        <f t="shared" si="183"/>
        <v>0</v>
      </c>
      <c r="CF74" s="19">
        <f t="shared" si="146"/>
        <v>0</v>
      </c>
      <c r="CG74" s="20" t="e">
        <f t="shared" si="147"/>
        <v>#DIV/0!</v>
      </c>
      <c r="CH74" s="20" t="e">
        <f t="shared" si="148"/>
        <v>#DIV/0!</v>
      </c>
      <c r="CI74" s="83" t="e">
        <f t="shared" si="190"/>
        <v>#DIV/0!</v>
      </c>
      <c r="CJ74" s="77" t="e">
        <f t="shared" si="149"/>
        <v>#DIV/0!</v>
      </c>
      <c r="CK74" s="2" t="e">
        <f t="shared" si="101"/>
        <v>#DIV/0!</v>
      </c>
      <c r="CL74" s="2" t="str">
        <f t="shared" si="150"/>
        <v/>
      </c>
      <c r="CM74" s="231" t="e">
        <f t="shared" si="102"/>
        <v>#DIV/0!</v>
      </c>
      <c r="CN74" s="233" t="e">
        <f t="shared" si="103"/>
        <v>#DIV/0!</v>
      </c>
      <c r="CO74" s="233">
        <f t="shared" si="104"/>
        <v>0</v>
      </c>
      <c r="CP74" s="2">
        <f t="shared" si="151"/>
        <v>1</v>
      </c>
      <c r="CQ74" s="2">
        <f t="shared" si="152"/>
        <v>1</v>
      </c>
      <c r="CR74" s="2" t="str">
        <f t="shared" si="153"/>
        <v/>
      </c>
      <c r="CS74" s="2">
        <f t="shared" si="154"/>
        <v>0</v>
      </c>
      <c r="CT74" s="191">
        <f t="shared" si="155"/>
        <v>0</v>
      </c>
      <c r="CU74" s="2" t="str">
        <f t="shared" si="156"/>
        <v>OK</v>
      </c>
      <c r="CV74" s="232">
        <f t="shared" si="157"/>
        <v>0.05</v>
      </c>
      <c r="CW74" s="191" t="e">
        <f t="shared" si="158"/>
        <v>#DIV/0!</v>
      </c>
      <c r="CX74" s="191" t="e">
        <f t="shared" si="159"/>
        <v>#DIV/0!</v>
      </c>
      <c r="CY74" s="191" t="e">
        <f t="shared" si="160"/>
        <v>#DIV/0!</v>
      </c>
      <c r="CZ74" s="191" t="e">
        <f t="shared" si="161"/>
        <v>#DIV/0!</v>
      </c>
      <c r="DA74" s="191">
        <f t="shared" si="162"/>
        <v>1</v>
      </c>
      <c r="DB74" s="191">
        <f t="shared" si="163"/>
        <v>0</v>
      </c>
      <c r="DC74" s="2" t="str">
        <f t="shared" si="164"/>
        <v>Soft</v>
      </c>
      <c r="DD74" s="2"/>
      <c r="DE74" s="2">
        <f t="shared" si="165"/>
        <v>0</v>
      </c>
      <c r="DF74" s="191" t="e">
        <f t="shared" si="166"/>
        <v>#DIV/0!</v>
      </c>
      <c r="DG74" s="191" t="e">
        <f t="shared" si="167"/>
        <v>#DIV/0!</v>
      </c>
      <c r="DH74" s="191" t="e">
        <f t="shared" si="168"/>
        <v>#DIV/0!</v>
      </c>
      <c r="DI74" s="191" t="e">
        <f t="shared" si="169"/>
        <v>#DIV/0!</v>
      </c>
      <c r="DJ74" s="191" t="e">
        <f t="shared" si="105"/>
        <v>#DIV/0!</v>
      </c>
      <c r="DK74" s="2"/>
      <c r="DL74" s="2"/>
      <c r="DM74" s="2"/>
      <c r="DN74" s="2">
        <f t="shared" si="170"/>
        <v>1</v>
      </c>
      <c r="DO74" s="191" t="e">
        <f t="shared" si="171"/>
        <v>#DIV/0!</v>
      </c>
      <c r="DP74" s="191" t="e">
        <f t="shared" si="172"/>
        <v>#DIV/0!</v>
      </c>
      <c r="DQ74" s="191" t="e">
        <f t="shared" si="173"/>
        <v>#DIV/0!</v>
      </c>
      <c r="DR74" s="191" t="e">
        <f t="shared" si="174"/>
        <v>#DIV/0!</v>
      </c>
      <c r="DS74" s="191" t="e">
        <f t="shared" si="175"/>
        <v>#DIV/0!</v>
      </c>
      <c r="DT74" s="191" t="e">
        <f t="shared" si="176"/>
        <v>#DIV/0!</v>
      </c>
      <c r="DU74" s="191">
        <f t="shared" si="177"/>
        <v>0</v>
      </c>
      <c r="DV74" s="2"/>
      <c r="DW74" s="2" t="b">
        <f t="shared" si="178"/>
        <v>1</v>
      </c>
      <c r="DX74" s="2" t="b">
        <f t="shared" si="179"/>
        <v>1</v>
      </c>
      <c r="DY74" s="2" t="b">
        <f t="shared" si="180"/>
        <v>1</v>
      </c>
      <c r="DZ74" s="2" t="b">
        <f t="shared" si="181"/>
        <v>1</v>
      </c>
      <c r="EA74" s="2" t="b">
        <f t="shared" si="182"/>
        <v>1</v>
      </c>
      <c r="EB74"/>
    </row>
    <row r="75" spans="1:132" s="108" customFormat="1" ht="18.5" hidden="1" thickBot="1" x14ac:dyDescent="0.45">
      <c r="A75" s="109"/>
      <c r="B75" s="88" t="str">
        <f t="shared" si="80"/>
        <v>-</v>
      </c>
      <c r="C75" s="118">
        <v>56</v>
      </c>
      <c r="D75" s="794"/>
      <c r="E75" s="795"/>
      <c r="F75" s="566"/>
      <c r="G75" s="567"/>
      <c r="H75" s="568"/>
      <c r="I75" s="558"/>
      <c r="J75" s="559"/>
      <c r="K75" s="560"/>
      <c r="L75" s="560"/>
      <c r="M75" s="560"/>
      <c r="N75" s="561"/>
      <c r="O75" s="562"/>
      <c r="P75" s="563"/>
      <c r="Q75" s="564"/>
      <c r="R75" s="565"/>
      <c r="S75" s="112" t="str">
        <f t="shared" si="110"/>
        <v/>
      </c>
      <c r="T75" s="113" t="str">
        <f t="shared" si="111"/>
        <v/>
      </c>
      <c r="U75" s="114">
        <f t="shared" si="112"/>
        <v>0</v>
      </c>
      <c r="V75" s="117" t="str">
        <f t="shared" si="113"/>
        <v/>
      </c>
      <c r="W75" s="234" t="str">
        <f t="shared" si="114"/>
        <v/>
      </c>
      <c r="X75" s="115">
        <f t="shared" si="184"/>
        <v>0</v>
      </c>
      <c r="Y75" s="116" t="str">
        <f t="shared" si="115"/>
        <v/>
      </c>
      <c r="Z75" s="111"/>
      <c r="AA75" s="2"/>
      <c r="AB75" s="2">
        <v>56</v>
      </c>
      <c r="AC75" s="22" t="str">
        <f t="shared" si="185"/>
        <v>-</v>
      </c>
      <c r="AD75" s="22">
        <f t="shared" si="186"/>
        <v>0</v>
      </c>
      <c r="AE75" s="22">
        <f t="shared" si="82"/>
        <v>0</v>
      </c>
      <c r="AF75" s="22"/>
      <c r="AG75" s="21">
        <f t="shared" si="83"/>
        <v>0</v>
      </c>
      <c r="AH75" s="6">
        <f t="shared" si="116"/>
        <v>0</v>
      </c>
      <c r="AI75" s="7">
        <f>IF(SUM(AH75:AH$99)=0,0,F75&gt;0)</f>
        <v>0</v>
      </c>
      <c r="AJ75" s="6">
        <f t="shared" si="117"/>
        <v>0</v>
      </c>
      <c r="AK75" s="7">
        <f>IF(SUM(AH75:AH$99)=0,0,AND(AI75=FALSE,AJ75=0,SUM(AJ75:AJ$99)&gt;0))</f>
        <v>0</v>
      </c>
      <c r="AL75" s="7">
        <f t="shared" si="84"/>
        <v>0</v>
      </c>
      <c r="AM75" s="7">
        <f t="shared" si="118"/>
        <v>0</v>
      </c>
      <c r="AN75" s="9">
        <f t="shared" si="119"/>
        <v>0</v>
      </c>
      <c r="AO75" s="9">
        <f t="shared" si="120"/>
        <v>0</v>
      </c>
      <c r="AP75" s="486">
        <f t="shared" si="121"/>
        <v>0</v>
      </c>
      <c r="AQ75" s="486">
        <f t="shared" si="85"/>
        <v>0</v>
      </c>
      <c r="AR75" s="7">
        <f t="shared" si="122"/>
        <v>0</v>
      </c>
      <c r="AS75" s="7" t="str">
        <f t="shared" si="86"/>
        <v/>
      </c>
      <c r="AT75" s="7">
        <f t="shared" si="123"/>
        <v>0</v>
      </c>
      <c r="AU75" s="485">
        <f t="shared" si="87"/>
        <v>0</v>
      </c>
      <c r="AV75" s="7">
        <f t="shared" si="124"/>
        <v>0</v>
      </c>
      <c r="AW75" s="7">
        <f t="shared" si="125"/>
        <v>0</v>
      </c>
      <c r="AX75" s="7">
        <f t="shared" si="126"/>
        <v>0</v>
      </c>
      <c r="AY75" s="484">
        <f t="shared" si="88"/>
        <v>0</v>
      </c>
      <c r="AZ75" s="7">
        <f t="shared" si="127"/>
        <v>0</v>
      </c>
      <c r="BA75" s="483">
        <f t="shared" si="89"/>
        <v>0</v>
      </c>
      <c r="BB75" s="487" t="str">
        <f t="shared" si="90"/>
        <v/>
      </c>
      <c r="BC75" s="487" t="str">
        <f t="shared" si="91"/>
        <v/>
      </c>
      <c r="BD75" s="7">
        <f t="shared" si="128"/>
        <v>0</v>
      </c>
      <c r="BE75" s="7">
        <f t="shared" si="129"/>
        <v>0</v>
      </c>
      <c r="BF75" s="7">
        <f t="shared" si="130"/>
        <v>0</v>
      </c>
      <c r="BG75" s="8" t="b">
        <f t="shared" si="131"/>
        <v>0</v>
      </c>
      <c r="BH75" s="235" t="str">
        <f t="shared" si="132"/>
        <v/>
      </c>
      <c r="BI75" s="75">
        <f t="shared" si="133"/>
        <v>0</v>
      </c>
      <c r="BJ75" s="15">
        <f t="shared" si="134"/>
        <v>0</v>
      </c>
      <c r="BK75" s="15">
        <f t="shared" si="187"/>
        <v>0</v>
      </c>
      <c r="BL75" s="18">
        <f t="shared" si="135"/>
        <v>0</v>
      </c>
      <c r="BM75" s="78">
        <f t="shared" si="136"/>
        <v>0</v>
      </c>
      <c r="BN75" s="14">
        <f t="shared" si="137"/>
        <v>0</v>
      </c>
      <c r="BO75" s="14">
        <f t="shared" si="138"/>
        <v>0</v>
      </c>
      <c r="BP75" s="15">
        <f t="shared" si="188"/>
        <v>0</v>
      </c>
      <c r="BQ75" s="73">
        <f t="shared" si="139"/>
        <v>0</v>
      </c>
      <c r="BR75" s="13"/>
      <c r="BS75" s="75">
        <f t="shared" si="106"/>
        <v>0</v>
      </c>
      <c r="BT75" s="15">
        <f t="shared" si="107"/>
        <v>0</v>
      </c>
      <c r="BU75" s="15">
        <f t="shared" si="108"/>
        <v>0</v>
      </c>
      <c r="BV75" s="17">
        <f t="shared" si="109"/>
        <v>0</v>
      </c>
      <c r="BW75" s="72">
        <f t="shared" si="140"/>
        <v>0</v>
      </c>
      <c r="BX75" s="14">
        <f t="shared" si="141"/>
        <v>0</v>
      </c>
      <c r="BY75" s="15">
        <f t="shared" si="189"/>
        <v>0</v>
      </c>
      <c r="BZ75" s="14">
        <f t="shared" si="98"/>
        <v>0</v>
      </c>
      <c r="CA75" s="73">
        <f t="shared" si="142"/>
        <v>0</v>
      </c>
      <c r="CB75" s="192" t="e">
        <f t="shared" si="143"/>
        <v>#DIV/0!</v>
      </c>
      <c r="CC75" s="72" t="e">
        <f t="shared" si="144"/>
        <v>#DIV/0!</v>
      </c>
      <c r="CD75" s="14">
        <f t="shared" si="145"/>
        <v>0</v>
      </c>
      <c r="CE75" s="19">
        <f t="shared" si="183"/>
        <v>0</v>
      </c>
      <c r="CF75" s="19">
        <f t="shared" si="146"/>
        <v>0</v>
      </c>
      <c r="CG75" s="20" t="e">
        <f t="shared" si="147"/>
        <v>#DIV/0!</v>
      </c>
      <c r="CH75" s="20" t="e">
        <f t="shared" si="148"/>
        <v>#DIV/0!</v>
      </c>
      <c r="CI75" s="83" t="e">
        <f t="shared" si="190"/>
        <v>#DIV/0!</v>
      </c>
      <c r="CJ75" s="77" t="e">
        <f t="shared" si="149"/>
        <v>#DIV/0!</v>
      </c>
      <c r="CK75" s="2" t="e">
        <f t="shared" si="101"/>
        <v>#DIV/0!</v>
      </c>
      <c r="CL75" s="2" t="str">
        <f t="shared" si="150"/>
        <v/>
      </c>
      <c r="CM75" s="231" t="e">
        <f t="shared" si="102"/>
        <v>#DIV/0!</v>
      </c>
      <c r="CN75" s="233" t="e">
        <f t="shared" si="103"/>
        <v>#DIV/0!</v>
      </c>
      <c r="CO75" s="233">
        <f t="shared" si="104"/>
        <v>0</v>
      </c>
      <c r="CP75" s="2">
        <f t="shared" si="151"/>
        <v>1</v>
      </c>
      <c r="CQ75" s="2">
        <f t="shared" si="152"/>
        <v>1</v>
      </c>
      <c r="CR75" s="2" t="str">
        <f t="shared" si="153"/>
        <v/>
      </c>
      <c r="CS75" s="2">
        <f t="shared" si="154"/>
        <v>0</v>
      </c>
      <c r="CT75" s="191">
        <f t="shared" si="155"/>
        <v>0</v>
      </c>
      <c r="CU75" s="2" t="str">
        <f t="shared" si="156"/>
        <v>OK</v>
      </c>
      <c r="CV75" s="232">
        <f t="shared" si="157"/>
        <v>0.05</v>
      </c>
      <c r="CW75" s="191" t="e">
        <f t="shared" si="158"/>
        <v>#DIV/0!</v>
      </c>
      <c r="CX75" s="191" t="e">
        <f t="shared" si="159"/>
        <v>#DIV/0!</v>
      </c>
      <c r="CY75" s="191" t="e">
        <f t="shared" si="160"/>
        <v>#DIV/0!</v>
      </c>
      <c r="CZ75" s="191" t="e">
        <f t="shared" si="161"/>
        <v>#DIV/0!</v>
      </c>
      <c r="DA75" s="191">
        <f t="shared" si="162"/>
        <v>1</v>
      </c>
      <c r="DB75" s="191">
        <f t="shared" si="163"/>
        <v>0</v>
      </c>
      <c r="DC75" s="2" t="str">
        <f t="shared" si="164"/>
        <v>Soft</v>
      </c>
      <c r="DD75" s="2"/>
      <c r="DE75" s="2">
        <f t="shared" si="165"/>
        <v>0</v>
      </c>
      <c r="DF75" s="191" t="e">
        <f t="shared" si="166"/>
        <v>#DIV/0!</v>
      </c>
      <c r="DG75" s="191" t="e">
        <f t="shared" si="167"/>
        <v>#DIV/0!</v>
      </c>
      <c r="DH75" s="191" t="e">
        <f t="shared" si="168"/>
        <v>#DIV/0!</v>
      </c>
      <c r="DI75" s="191" t="e">
        <f t="shared" si="169"/>
        <v>#DIV/0!</v>
      </c>
      <c r="DJ75" s="191" t="e">
        <f t="shared" si="105"/>
        <v>#DIV/0!</v>
      </c>
      <c r="DK75" s="2"/>
      <c r="DL75" s="2"/>
      <c r="DM75" s="2"/>
      <c r="DN75" s="2">
        <f t="shared" si="170"/>
        <v>1</v>
      </c>
      <c r="DO75" s="191" t="e">
        <f t="shared" si="171"/>
        <v>#DIV/0!</v>
      </c>
      <c r="DP75" s="191" t="e">
        <f t="shared" si="172"/>
        <v>#DIV/0!</v>
      </c>
      <c r="DQ75" s="191" t="e">
        <f t="shared" si="173"/>
        <v>#DIV/0!</v>
      </c>
      <c r="DR75" s="191" t="e">
        <f t="shared" si="174"/>
        <v>#DIV/0!</v>
      </c>
      <c r="DS75" s="191" t="e">
        <f t="shared" si="175"/>
        <v>#DIV/0!</v>
      </c>
      <c r="DT75" s="191" t="e">
        <f t="shared" si="176"/>
        <v>#DIV/0!</v>
      </c>
      <c r="DU75" s="191">
        <f t="shared" si="177"/>
        <v>0</v>
      </c>
      <c r="DV75" s="2"/>
      <c r="DW75" s="2" t="b">
        <f t="shared" si="178"/>
        <v>1</v>
      </c>
      <c r="DX75" s="2" t="b">
        <f t="shared" si="179"/>
        <v>1</v>
      </c>
      <c r="DY75" s="2" t="b">
        <f t="shared" si="180"/>
        <v>1</v>
      </c>
      <c r="DZ75" s="2" t="b">
        <f t="shared" si="181"/>
        <v>1</v>
      </c>
      <c r="EA75" s="2" t="b">
        <f t="shared" si="182"/>
        <v>1</v>
      </c>
      <c r="EB75"/>
    </row>
    <row r="76" spans="1:132" s="108" customFormat="1" ht="18.5" hidden="1" thickBot="1" x14ac:dyDescent="0.45">
      <c r="A76" s="109"/>
      <c r="B76" s="88" t="str">
        <f t="shared" si="80"/>
        <v>-</v>
      </c>
      <c r="C76" s="118">
        <v>57</v>
      </c>
      <c r="D76" s="794"/>
      <c r="E76" s="795"/>
      <c r="F76" s="566"/>
      <c r="G76" s="567"/>
      <c r="H76" s="568"/>
      <c r="I76" s="558"/>
      <c r="J76" s="559"/>
      <c r="K76" s="560"/>
      <c r="L76" s="560"/>
      <c r="M76" s="560"/>
      <c r="N76" s="561"/>
      <c r="O76" s="562"/>
      <c r="P76" s="563"/>
      <c r="Q76" s="564"/>
      <c r="R76" s="565"/>
      <c r="S76" s="112" t="str">
        <f t="shared" si="110"/>
        <v/>
      </c>
      <c r="T76" s="113" t="str">
        <f t="shared" si="111"/>
        <v/>
      </c>
      <c r="U76" s="114">
        <f t="shared" si="112"/>
        <v>0</v>
      </c>
      <c r="V76" s="117" t="str">
        <f t="shared" si="113"/>
        <v/>
      </c>
      <c r="W76" s="234" t="str">
        <f t="shared" si="114"/>
        <v/>
      </c>
      <c r="X76" s="115">
        <f t="shared" si="184"/>
        <v>0</v>
      </c>
      <c r="Y76" s="116" t="str">
        <f t="shared" si="115"/>
        <v/>
      </c>
      <c r="Z76" s="111"/>
      <c r="AA76" s="2"/>
      <c r="AB76" s="2">
        <v>57</v>
      </c>
      <c r="AC76" s="22" t="str">
        <f t="shared" si="185"/>
        <v>-</v>
      </c>
      <c r="AD76" s="22">
        <f t="shared" si="186"/>
        <v>0</v>
      </c>
      <c r="AE76" s="22">
        <f t="shared" si="82"/>
        <v>0</v>
      </c>
      <c r="AF76" s="22"/>
      <c r="AG76" s="21">
        <f t="shared" si="83"/>
        <v>0</v>
      </c>
      <c r="AH76" s="6">
        <f t="shared" si="116"/>
        <v>0</v>
      </c>
      <c r="AI76" s="7">
        <f>IF(SUM(AH76:AH$99)=0,0,F76&gt;0)</f>
        <v>0</v>
      </c>
      <c r="AJ76" s="6">
        <f t="shared" si="117"/>
        <v>0</v>
      </c>
      <c r="AK76" s="7">
        <f>IF(SUM(AH76:AH$99)=0,0,AND(AI76=FALSE,AJ76=0,SUM(AJ76:AJ$99)&gt;0))</f>
        <v>0</v>
      </c>
      <c r="AL76" s="7">
        <f t="shared" si="84"/>
        <v>0</v>
      </c>
      <c r="AM76" s="7">
        <f t="shared" si="118"/>
        <v>0</v>
      </c>
      <c r="AN76" s="9">
        <f t="shared" si="119"/>
        <v>0</v>
      </c>
      <c r="AO76" s="9">
        <f t="shared" si="120"/>
        <v>0</v>
      </c>
      <c r="AP76" s="486">
        <f t="shared" si="121"/>
        <v>0</v>
      </c>
      <c r="AQ76" s="486">
        <f t="shared" si="85"/>
        <v>0</v>
      </c>
      <c r="AR76" s="7">
        <f t="shared" si="122"/>
        <v>0</v>
      </c>
      <c r="AS76" s="7" t="str">
        <f t="shared" si="86"/>
        <v/>
      </c>
      <c r="AT76" s="7">
        <f t="shared" si="123"/>
        <v>0</v>
      </c>
      <c r="AU76" s="485">
        <f t="shared" si="87"/>
        <v>0</v>
      </c>
      <c r="AV76" s="7">
        <f t="shared" si="124"/>
        <v>0</v>
      </c>
      <c r="AW76" s="7">
        <f t="shared" si="125"/>
        <v>0</v>
      </c>
      <c r="AX76" s="7">
        <f t="shared" si="126"/>
        <v>0</v>
      </c>
      <c r="AY76" s="484">
        <f t="shared" si="88"/>
        <v>0</v>
      </c>
      <c r="AZ76" s="7">
        <f t="shared" si="127"/>
        <v>0</v>
      </c>
      <c r="BA76" s="483">
        <f t="shared" si="89"/>
        <v>0</v>
      </c>
      <c r="BB76" s="487" t="str">
        <f t="shared" si="90"/>
        <v/>
      </c>
      <c r="BC76" s="487" t="str">
        <f t="shared" si="91"/>
        <v/>
      </c>
      <c r="BD76" s="7">
        <f t="shared" si="128"/>
        <v>0</v>
      </c>
      <c r="BE76" s="7">
        <f t="shared" si="129"/>
        <v>0</v>
      </c>
      <c r="BF76" s="7">
        <f t="shared" si="130"/>
        <v>0</v>
      </c>
      <c r="BG76" s="8" t="b">
        <f t="shared" si="131"/>
        <v>0</v>
      </c>
      <c r="BH76" s="235" t="str">
        <f t="shared" si="132"/>
        <v/>
      </c>
      <c r="BI76" s="75">
        <f t="shared" si="133"/>
        <v>0</v>
      </c>
      <c r="BJ76" s="15">
        <f t="shared" si="134"/>
        <v>0</v>
      </c>
      <c r="BK76" s="15">
        <f t="shared" si="187"/>
        <v>0</v>
      </c>
      <c r="BL76" s="18">
        <f t="shared" si="135"/>
        <v>0</v>
      </c>
      <c r="BM76" s="78">
        <f t="shared" si="136"/>
        <v>0</v>
      </c>
      <c r="BN76" s="14">
        <f t="shared" si="137"/>
        <v>0</v>
      </c>
      <c r="BO76" s="14">
        <f t="shared" si="138"/>
        <v>0</v>
      </c>
      <c r="BP76" s="15">
        <f t="shared" si="188"/>
        <v>0</v>
      </c>
      <c r="BQ76" s="73">
        <f t="shared" si="139"/>
        <v>0</v>
      </c>
      <c r="BR76" s="13"/>
      <c r="BS76" s="75">
        <f t="shared" si="106"/>
        <v>0</v>
      </c>
      <c r="BT76" s="15">
        <f t="shared" si="107"/>
        <v>0</v>
      </c>
      <c r="BU76" s="15">
        <f t="shared" si="108"/>
        <v>0</v>
      </c>
      <c r="BV76" s="17">
        <f t="shared" si="109"/>
        <v>0</v>
      </c>
      <c r="BW76" s="72">
        <f t="shared" si="140"/>
        <v>0</v>
      </c>
      <c r="BX76" s="14">
        <f t="shared" si="141"/>
        <v>0</v>
      </c>
      <c r="BY76" s="15">
        <f t="shared" si="189"/>
        <v>0</v>
      </c>
      <c r="BZ76" s="14">
        <f t="shared" si="98"/>
        <v>0</v>
      </c>
      <c r="CA76" s="73">
        <f t="shared" si="142"/>
        <v>0</v>
      </c>
      <c r="CB76" s="192" t="e">
        <f t="shared" si="143"/>
        <v>#DIV/0!</v>
      </c>
      <c r="CC76" s="72" t="e">
        <f t="shared" si="144"/>
        <v>#DIV/0!</v>
      </c>
      <c r="CD76" s="14">
        <f t="shared" si="145"/>
        <v>0</v>
      </c>
      <c r="CE76" s="19">
        <f t="shared" si="183"/>
        <v>0</v>
      </c>
      <c r="CF76" s="19">
        <f t="shared" si="146"/>
        <v>0</v>
      </c>
      <c r="CG76" s="20" t="e">
        <f t="shared" si="147"/>
        <v>#DIV/0!</v>
      </c>
      <c r="CH76" s="20" t="e">
        <f t="shared" si="148"/>
        <v>#DIV/0!</v>
      </c>
      <c r="CI76" s="83" t="e">
        <f t="shared" si="190"/>
        <v>#DIV/0!</v>
      </c>
      <c r="CJ76" s="77" t="e">
        <f t="shared" si="149"/>
        <v>#DIV/0!</v>
      </c>
      <c r="CK76" s="2" t="e">
        <f t="shared" si="101"/>
        <v>#DIV/0!</v>
      </c>
      <c r="CL76" s="2" t="str">
        <f t="shared" si="150"/>
        <v/>
      </c>
      <c r="CM76" s="231" t="e">
        <f t="shared" si="102"/>
        <v>#DIV/0!</v>
      </c>
      <c r="CN76" s="233" t="e">
        <f t="shared" si="103"/>
        <v>#DIV/0!</v>
      </c>
      <c r="CO76" s="233">
        <f t="shared" si="104"/>
        <v>0</v>
      </c>
      <c r="CP76" s="2">
        <f t="shared" si="151"/>
        <v>1</v>
      </c>
      <c r="CQ76" s="2">
        <f t="shared" si="152"/>
        <v>1</v>
      </c>
      <c r="CR76" s="2" t="str">
        <f t="shared" si="153"/>
        <v/>
      </c>
      <c r="CS76" s="2">
        <f t="shared" si="154"/>
        <v>0</v>
      </c>
      <c r="CT76" s="191">
        <f t="shared" si="155"/>
        <v>0</v>
      </c>
      <c r="CU76" s="2" t="str">
        <f t="shared" si="156"/>
        <v>OK</v>
      </c>
      <c r="CV76" s="232">
        <f t="shared" si="157"/>
        <v>0.05</v>
      </c>
      <c r="CW76" s="191" t="e">
        <f t="shared" si="158"/>
        <v>#DIV/0!</v>
      </c>
      <c r="CX76" s="191" t="e">
        <f t="shared" si="159"/>
        <v>#DIV/0!</v>
      </c>
      <c r="CY76" s="191" t="e">
        <f t="shared" si="160"/>
        <v>#DIV/0!</v>
      </c>
      <c r="CZ76" s="191" t="e">
        <f t="shared" si="161"/>
        <v>#DIV/0!</v>
      </c>
      <c r="DA76" s="191">
        <f t="shared" si="162"/>
        <v>1</v>
      </c>
      <c r="DB76" s="191">
        <f t="shared" si="163"/>
        <v>0</v>
      </c>
      <c r="DC76" s="2" t="str">
        <f t="shared" si="164"/>
        <v>Soft</v>
      </c>
      <c r="DD76" s="2"/>
      <c r="DE76" s="2">
        <f t="shared" si="165"/>
        <v>0</v>
      </c>
      <c r="DF76" s="191" t="e">
        <f t="shared" si="166"/>
        <v>#DIV/0!</v>
      </c>
      <c r="DG76" s="191" t="e">
        <f t="shared" si="167"/>
        <v>#DIV/0!</v>
      </c>
      <c r="DH76" s="191" t="e">
        <f t="shared" si="168"/>
        <v>#DIV/0!</v>
      </c>
      <c r="DI76" s="191" t="e">
        <f t="shared" si="169"/>
        <v>#DIV/0!</v>
      </c>
      <c r="DJ76" s="191" t="e">
        <f t="shared" si="105"/>
        <v>#DIV/0!</v>
      </c>
      <c r="DK76" s="2"/>
      <c r="DL76" s="2"/>
      <c r="DM76" s="2"/>
      <c r="DN76" s="2">
        <f t="shared" si="170"/>
        <v>1</v>
      </c>
      <c r="DO76" s="191" t="e">
        <f t="shared" si="171"/>
        <v>#DIV/0!</v>
      </c>
      <c r="DP76" s="191" t="e">
        <f t="shared" si="172"/>
        <v>#DIV/0!</v>
      </c>
      <c r="DQ76" s="191" t="e">
        <f t="shared" si="173"/>
        <v>#DIV/0!</v>
      </c>
      <c r="DR76" s="191" t="e">
        <f t="shared" si="174"/>
        <v>#DIV/0!</v>
      </c>
      <c r="DS76" s="191" t="e">
        <f t="shared" si="175"/>
        <v>#DIV/0!</v>
      </c>
      <c r="DT76" s="191" t="e">
        <f t="shared" si="176"/>
        <v>#DIV/0!</v>
      </c>
      <c r="DU76" s="191">
        <f t="shared" si="177"/>
        <v>0</v>
      </c>
      <c r="DV76" s="2"/>
      <c r="DW76" s="2" t="b">
        <f t="shared" si="178"/>
        <v>1</v>
      </c>
      <c r="DX76" s="2" t="b">
        <f t="shared" si="179"/>
        <v>1</v>
      </c>
      <c r="DY76" s="2" t="b">
        <f t="shared" si="180"/>
        <v>1</v>
      </c>
      <c r="DZ76" s="2" t="b">
        <f t="shared" si="181"/>
        <v>1</v>
      </c>
      <c r="EA76" s="2" t="b">
        <f t="shared" si="182"/>
        <v>1</v>
      </c>
      <c r="EB76"/>
    </row>
    <row r="77" spans="1:132" s="108" customFormat="1" ht="18.5" hidden="1" thickBot="1" x14ac:dyDescent="0.45">
      <c r="A77" s="109"/>
      <c r="B77" s="88" t="str">
        <f t="shared" si="80"/>
        <v>-</v>
      </c>
      <c r="C77" s="118">
        <v>58</v>
      </c>
      <c r="D77" s="794"/>
      <c r="E77" s="795"/>
      <c r="F77" s="566"/>
      <c r="G77" s="567"/>
      <c r="H77" s="568"/>
      <c r="I77" s="558"/>
      <c r="J77" s="559"/>
      <c r="K77" s="560"/>
      <c r="L77" s="560"/>
      <c r="M77" s="560"/>
      <c r="N77" s="561"/>
      <c r="O77" s="562"/>
      <c r="P77" s="563"/>
      <c r="Q77" s="564"/>
      <c r="R77" s="565"/>
      <c r="S77" s="112" t="str">
        <f t="shared" si="110"/>
        <v/>
      </c>
      <c r="T77" s="113" t="str">
        <f t="shared" si="111"/>
        <v/>
      </c>
      <c r="U77" s="114">
        <f t="shared" si="112"/>
        <v>0</v>
      </c>
      <c r="V77" s="117" t="str">
        <f t="shared" si="113"/>
        <v/>
      </c>
      <c r="W77" s="234" t="str">
        <f t="shared" si="114"/>
        <v/>
      </c>
      <c r="X77" s="115">
        <f t="shared" si="184"/>
        <v>0</v>
      </c>
      <c r="Y77" s="116" t="str">
        <f t="shared" si="115"/>
        <v/>
      </c>
      <c r="Z77" s="111"/>
      <c r="AA77" s="2"/>
      <c r="AB77" s="2">
        <v>58</v>
      </c>
      <c r="AC77" s="22" t="str">
        <f t="shared" si="185"/>
        <v>-</v>
      </c>
      <c r="AD77" s="22">
        <f t="shared" si="186"/>
        <v>0</v>
      </c>
      <c r="AE77" s="22">
        <f t="shared" si="82"/>
        <v>0</v>
      </c>
      <c r="AF77" s="22"/>
      <c r="AG77" s="21">
        <f t="shared" si="83"/>
        <v>0</v>
      </c>
      <c r="AH77" s="6">
        <f t="shared" si="116"/>
        <v>0</v>
      </c>
      <c r="AI77" s="7">
        <f>IF(SUM(AH77:AH$99)=0,0,F77&gt;0)</f>
        <v>0</v>
      </c>
      <c r="AJ77" s="6">
        <f t="shared" si="117"/>
        <v>0</v>
      </c>
      <c r="AK77" s="7">
        <f>IF(SUM(AH77:AH$99)=0,0,AND(AI77=FALSE,AJ77=0,SUM(AJ77:AJ$99)&gt;0))</f>
        <v>0</v>
      </c>
      <c r="AL77" s="7">
        <f t="shared" si="84"/>
        <v>0</v>
      </c>
      <c r="AM77" s="7">
        <f t="shared" si="118"/>
        <v>0</v>
      </c>
      <c r="AN77" s="9">
        <f t="shared" si="119"/>
        <v>0</v>
      </c>
      <c r="AO77" s="9">
        <f t="shared" si="120"/>
        <v>0</v>
      </c>
      <c r="AP77" s="486">
        <f t="shared" si="121"/>
        <v>0</v>
      </c>
      <c r="AQ77" s="486">
        <f t="shared" si="85"/>
        <v>0</v>
      </c>
      <c r="AR77" s="7">
        <f t="shared" si="122"/>
        <v>0</v>
      </c>
      <c r="AS77" s="7" t="str">
        <f t="shared" si="86"/>
        <v/>
      </c>
      <c r="AT77" s="7">
        <f t="shared" si="123"/>
        <v>0</v>
      </c>
      <c r="AU77" s="485">
        <f t="shared" si="87"/>
        <v>0</v>
      </c>
      <c r="AV77" s="7">
        <f t="shared" si="124"/>
        <v>0</v>
      </c>
      <c r="AW77" s="7">
        <f t="shared" si="125"/>
        <v>0</v>
      </c>
      <c r="AX77" s="7">
        <f t="shared" si="126"/>
        <v>0</v>
      </c>
      <c r="AY77" s="484">
        <f t="shared" si="88"/>
        <v>0</v>
      </c>
      <c r="AZ77" s="7">
        <f t="shared" si="127"/>
        <v>0</v>
      </c>
      <c r="BA77" s="483">
        <f t="shared" si="89"/>
        <v>0</v>
      </c>
      <c r="BB77" s="487" t="str">
        <f t="shared" si="90"/>
        <v/>
      </c>
      <c r="BC77" s="487" t="str">
        <f t="shared" si="91"/>
        <v/>
      </c>
      <c r="BD77" s="7">
        <f t="shared" si="128"/>
        <v>0</v>
      </c>
      <c r="BE77" s="7">
        <f t="shared" si="129"/>
        <v>0</v>
      </c>
      <c r="BF77" s="7">
        <f t="shared" si="130"/>
        <v>0</v>
      </c>
      <c r="BG77" s="8" t="b">
        <f t="shared" si="131"/>
        <v>0</v>
      </c>
      <c r="BH77" s="235" t="str">
        <f t="shared" si="132"/>
        <v/>
      </c>
      <c r="BI77" s="75">
        <f t="shared" si="133"/>
        <v>0</v>
      </c>
      <c r="BJ77" s="15">
        <f t="shared" si="134"/>
        <v>0</v>
      </c>
      <c r="BK77" s="15">
        <f t="shared" si="187"/>
        <v>0</v>
      </c>
      <c r="BL77" s="18">
        <f t="shared" si="135"/>
        <v>0</v>
      </c>
      <c r="BM77" s="78">
        <f t="shared" si="136"/>
        <v>0</v>
      </c>
      <c r="BN77" s="14">
        <f t="shared" si="137"/>
        <v>0</v>
      </c>
      <c r="BO77" s="14">
        <f t="shared" si="138"/>
        <v>0</v>
      </c>
      <c r="BP77" s="15">
        <f t="shared" si="188"/>
        <v>0</v>
      </c>
      <c r="BQ77" s="73">
        <f t="shared" si="139"/>
        <v>0</v>
      </c>
      <c r="BR77" s="13"/>
      <c r="BS77" s="75">
        <f t="shared" si="106"/>
        <v>0</v>
      </c>
      <c r="BT77" s="15">
        <f t="shared" si="107"/>
        <v>0</v>
      </c>
      <c r="BU77" s="15">
        <f t="shared" si="108"/>
        <v>0</v>
      </c>
      <c r="BV77" s="17">
        <f t="shared" si="109"/>
        <v>0</v>
      </c>
      <c r="BW77" s="72">
        <f t="shared" si="140"/>
        <v>0</v>
      </c>
      <c r="BX77" s="14">
        <f t="shared" si="141"/>
        <v>0</v>
      </c>
      <c r="BY77" s="15">
        <f t="shared" si="189"/>
        <v>0</v>
      </c>
      <c r="BZ77" s="14">
        <f t="shared" si="98"/>
        <v>0</v>
      </c>
      <c r="CA77" s="73">
        <f t="shared" si="142"/>
        <v>0</v>
      </c>
      <c r="CB77" s="192" t="e">
        <f t="shared" si="143"/>
        <v>#DIV/0!</v>
      </c>
      <c r="CC77" s="72" t="e">
        <f t="shared" si="144"/>
        <v>#DIV/0!</v>
      </c>
      <c r="CD77" s="14">
        <f t="shared" si="145"/>
        <v>0</v>
      </c>
      <c r="CE77" s="19">
        <f t="shared" si="183"/>
        <v>0</v>
      </c>
      <c r="CF77" s="19">
        <f t="shared" si="146"/>
        <v>0</v>
      </c>
      <c r="CG77" s="20" t="e">
        <f t="shared" si="147"/>
        <v>#DIV/0!</v>
      </c>
      <c r="CH77" s="20" t="e">
        <f t="shared" si="148"/>
        <v>#DIV/0!</v>
      </c>
      <c r="CI77" s="83" t="e">
        <f t="shared" si="190"/>
        <v>#DIV/0!</v>
      </c>
      <c r="CJ77" s="77" t="e">
        <f t="shared" si="149"/>
        <v>#DIV/0!</v>
      </c>
      <c r="CK77" s="2" t="e">
        <f t="shared" si="101"/>
        <v>#DIV/0!</v>
      </c>
      <c r="CL77" s="2" t="str">
        <f t="shared" si="150"/>
        <v/>
      </c>
      <c r="CM77" s="231" t="e">
        <f t="shared" si="102"/>
        <v>#DIV/0!</v>
      </c>
      <c r="CN77" s="233" t="e">
        <f t="shared" si="103"/>
        <v>#DIV/0!</v>
      </c>
      <c r="CO77" s="233">
        <f t="shared" si="104"/>
        <v>0</v>
      </c>
      <c r="CP77" s="2">
        <f t="shared" si="151"/>
        <v>1</v>
      </c>
      <c r="CQ77" s="2">
        <f t="shared" si="152"/>
        <v>1</v>
      </c>
      <c r="CR77" s="2" t="str">
        <f t="shared" si="153"/>
        <v/>
      </c>
      <c r="CS77" s="2">
        <f t="shared" si="154"/>
        <v>0</v>
      </c>
      <c r="CT77" s="191">
        <f t="shared" si="155"/>
        <v>0</v>
      </c>
      <c r="CU77" s="2" t="str">
        <f t="shared" si="156"/>
        <v>OK</v>
      </c>
      <c r="CV77" s="232">
        <f t="shared" si="157"/>
        <v>0.05</v>
      </c>
      <c r="CW77" s="191" t="e">
        <f t="shared" si="158"/>
        <v>#DIV/0!</v>
      </c>
      <c r="CX77" s="191" t="e">
        <f t="shared" si="159"/>
        <v>#DIV/0!</v>
      </c>
      <c r="CY77" s="191" t="e">
        <f t="shared" si="160"/>
        <v>#DIV/0!</v>
      </c>
      <c r="CZ77" s="191" t="e">
        <f t="shared" si="161"/>
        <v>#DIV/0!</v>
      </c>
      <c r="DA77" s="191">
        <f t="shared" si="162"/>
        <v>1</v>
      </c>
      <c r="DB77" s="191">
        <f t="shared" si="163"/>
        <v>0</v>
      </c>
      <c r="DC77" s="2" t="str">
        <f t="shared" si="164"/>
        <v>Soft</v>
      </c>
      <c r="DD77" s="2"/>
      <c r="DE77" s="2">
        <f t="shared" si="165"/>
        <v>0</v>
      </c>
      <c r="DF77" s="191" t="e">
        <f t="shared" si="166"/>
        <v>#DIV/0!</v>
      </c>
      <c r="DG77" s="191" t="e">
        <f t="shared" si="167"/>
        <v>#DIV/0!</v>
      </c>
      <c r="DH77" s="191" t="e">
        <f t="shared" si="168"/>
        <v>#DIV/0!</v>
      </c>
      <c r="DI77" s="191" t="e">
        <f t="shared" si="169"/>
        <v>#DIV/0!</v>
      </c>
      <c r="DJ77" s="191" t="e">
        <f t="shared" si="105"/>
        <v>#DIV/0!</v>
      </c>
      <c r="DK77" s="2"/>
      <c r="DL77" s="2"/>
      <c r="DM77" s="2"/>
      <c r="DN77" s="2">
        <f t="shared" si="170"/>
        <v>1</v>
      </c>
      <c r="DO77" s="191" t="e">
        <f t="shared" si="171"/>
        <v>#DIV/0!</v>
      </c>
      <c r="DP77" s="191" t="e">
        <f t="shared" si="172"/>
        <v>#DIV/0!</v>
      </c>
      <c r="DQ77" s="191" t="e">
        <f t="shared" si="173"/>
        <v>#DIV/0!</v>
      </c>
      <c r="DR77" s="191" t="e">
        <f t="shared" si="174"/>
        <v>#DIV/0!</v>
      </c>
      <c r="DS77" s="191" t="e">
        <f t="shared" si="175"/>
        <v>#DIV/0!</v>
      </c>
      <c r="DT77" s="191" t="e">
        <f t="shared" si="176"/>
        <v>#DIV/0!</v>
      </c>
      <c r="DU77" s="191">
        <f t="shared" si="177"/>
        <v>0</v>
      </c>
      <c r="DV77" s="2"/>
      <c r="DW77" s="2" t="b">
        <f t="shared" si="178"/>
        <v>1</v>
      </c>
      <c r="DX77" s="2" t="b">
        <f t="shared" si="179"/>
        <v>1</v>
      </c>
      <c r="DY77" s="2" t="b">
        <f t="shared" si="180"/>
        <v>1</v>
      </c>
      <c r="DZ77" s="2" t="b">
        <f t="shared" si="181"/>
        <v>1</v>
      </c>
      <c r="EA77" s="2" t="b">
        <f t="shared" si="182"/>
        <v>1</v>
      </c>
      <c r="EB77"/>
    </row>
    <row r="78" spans="1:132" s="108" customFormat="1" ht="18.5" hidden="1" thickBot="1" x14ac:dyDescent="0.45">
      <c r="A78" s="109"/>
      <c r="B78" s="88" t="str">
        <f t="shared" si="80"/>
        <v>-</v>
      </c>
      <c r="C78" s="118">
        <v>59</v>
      </c>
      <c r="D78" s="794"/>
      <c r="E78" s="795"/>
      <c r="F78" s="566"/>
      <c r="G78" s="567"/>
      <c r="H78" s="568"/>
      <c r="I78" s="558"/>
      <c r="J78" s="559"/>
      <c r="K78" s="560"/>
      <c r="L78" s="560"/>
      <c r="M78" s="560"/>
      <c r="N78" s="561"/>
      <c r="O78" s="562"/>
      <c r="P78" s="563"/>
      <c r="Q78" s="564"/>
      <c r="R78" s="565"/>
      <c r="S78" s="112" t="str">
        <f t="shared" si="110"/>
        <v/>
      </c>
      <c r="T78" s="113" t="str">
        <f t="shared" si="111"/>
        <v/>
      </c>
      <c r="U78" s="114">
        <f t="shared" si="112"/>
        <v>0</v>
      </c>
      <c r="V78" s="117" t="str">
        <f t="shared" si="113"/>
        <v/>
      </c>
      <c r="W78" s="234" t="str">
        <f t="shared" si="114"/>
        <v/>
      </c>
      <c r="X78" s="115">
        <f t="shared" si="184"/>
        <v>0</v>
      </c>
      <c r="Y78" s="116" t="str">
        <f t="shared" si="115"/>
        <v/>
      </c>
      <c r="Z78" s="111"/>
      <c r="AA78" s="2"/>
      <c r="AB78" s="2">
        <v>59</v>
      </c>
      <c r="AC78" s="22" t="str">
        <f t="shared" si="185"/>
        <v>-</v>
      </c>
      <c r="AD78" s="22">
        <f t="shared" si="186"/>
        <v>0</v>
      </c>
      <c r="AE78" s="22">
        <f t="shared" si="82"/>
        <v>0</v>
      </c>
      <c r="AF78" s="22"/>
      <c r="AG78" s="21">
        <f t="shared" si="83"/>
        <v>0</v>
      </c>
      <c r="AH78" s="6">
        <f t="shared" si="116"/>
        <v>0</v>
      </c>
      <c r="AI78" s="7">
        <f>IF(SUM(AH78:AH$99)=0,0,F78&gt;0)</f>
        <v>0</v>
      </c>
      <c r="AJ78" s="6">
        <f t="shared" si="117"/>
        <v>0</v>
      </c>
      <c r="AK78" s="7">
        <f>IF(SUM(AH78:AH$99)=0,0,AND(AI78=FALSE,AJ78=0,SUM(AJ78:AJ$99)&gt;0))</f>
        <v>0</v>
      </c>
      <c r="AL78" s="7">
        <f t="shared" si="84"/>
        <v>0</v>
      </c>
      <c r="AM78" s="7">
        <f t="shared" si="118"/>
        <v>0</v>
      </c>
      <c r="AN78" s="9">
        <f t="shared" si="119"/>
        <v>0</v>
      </c>
      <c r="AO78" s="9">
        <f t="shared" si="120"/>
        <v>0</v>
      </c>
      <c r="AP78" s="486">
        <f t="shared" si="121"/>
        <v>0</v>
      </c>
      <c r="AQ78" s="486">
        <f t="shared" si="85"/>
        <v>0</v>
      </c>
      <c r="AR78" s="7">
        <f t="shared" si="122"/>
        <v>0</v>
      </c>
      <c r="AS78" s="7" t="str">
        <f t="shared" si="86"/>
        <v/>
      </c>
      <c r="AT78" s="7">
        <f t="shared" si="123"/>
        <v>0</v>
      </c>
      <c r="AU78" s="485">
        <f t="shared" si="87"/>
        <v>0</v>
      </c>
      <c r="AV78" s="7">
        <f t="shared" si="124"/>
        <v>0</v>
      </c>
      <c r="AW78" s="7">
        <f t="shared" si="125"/>
        <v>0</v>
      </c>
      <c r="AX78" s="7">
        <f t="shared" si="126"/>
        <v>0</v>
      </c>
      <c r="AY78" s="484">
        <f t="shared" si="88"/>
        <v>0</v>
      </c>
      <c r="AZ78" s="7">
        <f t="shared" si="127"/>
        <v>0</v>
      </c>
      <c r="BA78" s="483">
        <f t="shared" si="89"/>
        <v>0</v>
      </c>
      <c r="BB78" s="487" t="str">
        <f t="shared" si="90"/>
        <v/>
      </c>
      <c r="BC78" s="487" t="str">
        <f t="shared" si="91"/>
        <v/>
      </c>
      <c r="BD78" s="7">
        <f t="shared" si="128"/>
        <v>0</v>
      </c>
      <c r="BE78" s="7">
        <f t="shared" si="129"/>
        <v>0</v>
      </c>
      <c r="BF78" s="7">
        <f t="shared" si="130"/>
        <v>0</v>
      </c>
      <c r="BG78" s="8" t="b">
        <f t="shared" si="131"/>
        <v>0</v>
      </c>
      <c r="BH78" s="235" t="str">
        <f t="shared" si="132"/>
        <v/>
      </c>
      <c r="BI78" s="75">
        <f t="shared" si="133"/>
        <v>0</v>
      </c>
      <c r="BJ78" s="15">
        <f t="shared" si="134"/>
        <v>0</v>
      </c>
      <c r="BK78" s="15">
        <f t="shared" si="187"/>
        <v>0</v>
      </c>
      <c r="BL78" s="18">
        <f t="shared" si="135"/>
        <v>0</v>
      </c>
      <c r="BM78" s="78">
        <f t="shared" si="136"/>
        <v>0</v>
      </c>
      <c r="BN78" s="14">
        <f t="shared" si="137"/>
        <v>0</v>
      </c>
      <c r="BO78" s="14">
        <f t="shared" si="138"/>
        <v>0</v>
      </c>
      <c r="BP78" s="15">
        <f t="shared" si="188"/>
        <v>0</v>
      </c>
      <c r="BQ78" s="73">
        <f t="shared" si="139"/>
        <v>0</v>
      </c>
      <c r="BR78" s="13"/>
      <c r="BS78" s="75">
        <f t="shared" si="106"/>
        <v>0</v>
      </c>
      <c r="BT78" s="15">
        <f t="shared" si="107"/>
        <v>0</v>
      </c>
      <c r="BU78" s="15">
        <f t="shared" si="108"/>
        <v>0</v>
      </c>
      <c r="BV78" s="17">
        <f t="shared" si="109"/>
        <v>0</v>
      </c>
      <c r="BW78" s="72">
        <f t="shared" si="140"/>
        <v>0</v>
      </c>
      <c r="BX78" s="14">
        <f t="shared" si="141"/>
        <v>0</v>
      </c>
      <c r="BY78" s="15">
        <f t="shared" si="189"/>
        <v>0</v>
      </c>
      <c r="BZ78" s="14">
        <f t="shared" si="98"/>
        <v>0</v>
      </c>
      <c r="CA78" s="73">
        <f t="shared" si="142"/>
        <v>0</v>
      </c>
      <c r="CB78" s="192" t="e">
        <f t="shared" si="143"/>
        <v>#DIV/0!</v>
      </c>
      <c r="CC78" s="72" t="e">
        <f t="shared" si="144"/>
        <v>#DIV/0!</v>
      </c>
      <c r="CD78" s="14">
        <f t="shared" si="145"/>
        <v>0</v>
      </c>
      <c r="CE78" s="19">
        <f t="shared" si="183"/>
        <v>0</v>
      </c>
      <c r="CF78" s="19">
        <f t="shared" si="146"/>
        <v>0</v>
      </c>
      <c r="CG78" s="20" t="e">
        <f t="shared" si="147"/>
        <v>#DIV/0!</v>
      </c>
      <c r="CH78" s="20" t="e">
        <f t="shared" si="148"/>
        <v>#DIV/0!</v>
      </c>
      <c r="CI78" s="83" t="e">
        <f t="shared" si="190"/>
        <v>#DIV/0!</v>
      </c>
      <c r="CJ78" s="77" t="e">
        <f t="shared" si="149"/>
        <v>#DIV/0!</v>
      </c>
      <c r="CK78" s="2" t="e">
        <f t="shared" si="101"/>
        <v>#DIV/0!</v>
      </c>
      <c r="CL78" s="2" t="str">
        <f t="shared" si="150"/>
        <v/>
      </c>
      <c r="CM78" s="231" t="e">
        <f t="shared" si="102"/>
        <v>#DIV/0!</v>
      </c>
      <c r="CN78" s="233" t="e">
        <f t="shared" si="103"/>
        <v>#DIV/0!</v>
      </c>
      <c r="CO78" s="233">
        <f t="shared" si="104"/>
        <v>0</v>
      </c>
      <c r="CP78" s="2">
        <f t="shared" si="151"/>
        <v>1</v>
      </c>
      <c r="CQ78" s="2">
        <f t="shared" si="152"/>
        <v>1</v>
      </c>
      <c r="CR78" s="2" t="str">
        <f t="shared" si="153"/>
        <v/>
      </c>
      <c r="CS78" s="2">
        <f t="shared" si="154"/>
        <v>0</v>
      </c>
      <c r="CT78" s="191">
        <f t="shared" si="155"/>
        <v>0</v>
      </c>
      <c r="CU78" s="2" t="str">
        <f t="shared" si="156"/>
        <v>OK</v>
      </c>
      <c r="CV78" s="232">
        <f t="shared" si="157"/>
        <v>0.05</v>
      </c>
      <c r="CW78" s="191" t="e">
        <f t="shared" si="158"/>
        <v>#DIV/0!</v>
      </c>
      <c r="CX78" s="191" t="e">
        <f t="shared" si="159"/>
        <v>#DIV/0!</v>
      </c>
      <c r="CY78" s="191" t="e">
        <f t="shared" si="160"/>
        <v>#DIV/0!</v>
      </c>
      <c r="CZ78" s="191" t="e">
        <f t="shared" si="161"/>
        <v>#DIV/0!</v>
      </c>
      <c r="DA78" s="191">
        <f t="shared" si="162"/>
        <v>1</v>
      </c>
      <c r="DB78" s="191">
        <f t="shared" si="163"/>
        <v>0</v>
      </c>
      <c r="DC78" s="2" t="str">
        <f t="shared" si="164"/>
        <v>Soft</v>
      </c>
      <c r="DD78" s="2"/>
      <c r="DE78" s="2">
        <f t="shared" si="165"/>
        <v>0</v>
      </c>
      <c r="DF78" s="191" t="e">
        <f t="shared" si="166"/>
        <v>#DIV/0!</v>
      </c>
      <c r="DG78" s="191" t="e">
        <f t="shared" si="167"/>
        <v>#DIV/0!</v>
      </c>
      <c r="DH78" s="191" t="e">
        <f t="shared" si="168"/>
        <v>#DIV/0!</v>
      </c>
      <c r="DI78" s="191" t="e">
        <f t="shared" si="169"/>
        <v>#DIV/0!</v>
      </c>
      <c r="DJ78" s="191" t="e">
        <f t="shared" si="105"/>
        <v>#DIV/0!</v>
      </c>
      <c r="DK78" s="2"/>
      <c r="DL78" s="2"/>
      <c r="DM78" s="2"/>
      <c r="DN78" s="2">
        <f t="shared" si="170"/>
        <v>1</v>
      </c>
      <c r="DO78" s="191" t="e">
        <f t="shared" si="171"/>
        <v>#DIV/0!</v>
      </c>
      <c r="DP78" s="191" t="e">
        <f t="shared" si="172"/>
        <v>#DIV/0!</v>
      </c>
      <c r="DQ78" s="191" t="e">
        <f t="shared" si="173"/>
        <v>#DIV/0!</v>
      </c>
      <c r="DR78" s="191" t="e">
        <f t="shared" si="174"/>
        <v>#DIV/0!</v>
      </c>
      <c r="DS78" s="191" t="e">
        <f t="shared" si="175"/>
        <v>#DIV/0!</v>
      </c>
      <c r="DT78" s="191" t="e">
        <f t="shared" si="176"/>
        <v>#DIV/0!</v>
      </c>
      <c r="DU78" s="191">
        <f t="shared" si="177"/>
        <v>0</v>
      </c>
      <c r="DV78" s="2"/>
      <c r="DW78" s="2" t="b">
        <f t="shared" si="178"/>
        <v>1</v>
      </c>
      <c r="DX78" s="2" t="b">
        <f t="shared" si="179"/>
        <v>1</v>
      </c>
      <c r="DY78" s="2" t="b">
        <f t="shared" si="180"/>
        <v>1</v>
      </c>
      <c r="DZ78" s="2" t="b">
        <f t="shared" si="181"/>
        <v>1</v>
      </c>
      <c r="EA78" s="2" t="b">
        <f t="shared" si="182"/>
        <v>1</v>
      </c>
      <c r="EB78"/>
    </row>
    <row r="79" spans="1:132" s="108" customFormat="1" ht="18.5" hidden="1" thickBot="1" x14ac:dyDescent="0.45">
      <c r="A79" s="109"/>
      <c r="B79" s="88" t="str">
        <f t="shared" si="80"/>
        <v>-</v>
      </c>
      <c r="C79" s="118">
        <v>60</v>
      </c>
      <c r="D79" s="794"/>
      <c r="E79" s="795"/>
      <c r="F79" s="566"/>
      <c r="G79" s="567"/>
      <c r="H79" s="568"/>
      <c r="I79" s="558"/>
      <c r="J79" s="559"/>
      <c r="K79" s="560"/>
      <c r="L79" s="560"/>
      <c r="M79" s="560"/>
      <c r="N79" s="561"/>
      <c r="O79" s="562"/>
      <c r="P79" s="563"/>
      <c r="Q79" s="564"/>
      <c r="R79" s="565"/>
      <c r="S79" s="112" t="str">
        <f t="shared" si="110"/>
        <v/>
      </c>
      <c r="T79" s="113" t="str">
        <f t="shared" si="111"/>
        <v/>
      </c>
      <c r="U79" s="114">
        <f t="shared" si="112"/>
        <v>0</v>
      </c>
      <c r="V79" s="117" t="str">
        <f t="shared" si="113"/>
        <v/>
      </c>
      <c r="W79" s="234" t="str">
        <f t="shared" si="114"/>
        <v/>
      </c>
      <c r="X79" s="115">
        <f t="shared" si="184"/>
        <v>0</v>
      </c>
      <c r="Y79" s="116" t="str">
        <f t="shared" si="115"/>
        <v/>
      </c>
      <c r="Z79" s="111"/>
      <c r="AA79" s="2"/>
      <c r="AB79" s="2">
        <v>60</v>
      </c>
      <c r="AC79" s="22" t="str">
        <f t="shared" si="185"/>
        <v>-</v>
      </c>
      <c r="AD79" s="22">
        <f t="shared" si="186"/>
        <v>0</v>
      </c>
      <c r="AE79" s="22">
        <f t="shared" si="82"/>
        <v>0</v>
      </c>
      <c r="AF79" s="22"/>
      <c r="AG79" s="21">
        <f t="shared" si="83"/>
        <v>0</v>
      </c>
      <c r="AH79" s="6">
        <f t="shared" si="116"/>
        <v>0</v>
      </c>
      <c r="AI79" s="7">
        <f>IF(SUM(AH79:AH$99)=0,0,F79&gt;0)</f>
        <v>0</v>
      </c>
      <c r="AJ79" s="6">
        <f t="shared" si="117"/>
        <v>0</v>
      </c>
      <c r="AK79" s="7">
        <f>IF(SUM(AH79:AH$99)=0,0,AND(AI79=FALSE,AJ79=0,SUM(AJ79:AJ$99)&gt;0))</f>
        <v>0</v>
      </c>
      <c r="AL79" s="7">
        <f t="shared" si="84"/>
        <v>0</v>
      </c>
      <c r="AM79" s="7">
        <f t="shared" si="118"/>
        <v>0</v>
      </c>
      <c r="AN79" s="9">
        <f t="shared" si="119"/>
        <v>0</v>
      </c>
      <c r="AO79" s="9">
        <f t="shared" si="120"/>
        <v>0</v>
      </c>
      <c r="AP79" s="486">
        <f t="shared" si="121"/>
        <v>0</v>
      </c>
      <c r="AQ79" s="486">
        <f t="shared" si="85"/>
        <v>0</v>
      </c>
      <c r="AR79" s="7">
        <f t="shared" si="122"/>
        <v>0</v>
      </c>
      <c r="AS79" s="7" t="str">
        <f t="shared" si="86"/>
        <v/>
      </c>
      <c r="AT79" s="7">
        <f t="shared" si="123"/>
        <v>0</v>
      </c>
      <c r="AU79" s="485">
        <f t="shared" si="87"/>
        <v>0</v>
      </c>
      <c r="AV79" s="7">
        <f t="shared" si="124"/>
        <v>0</v>
      </c>
      <c r="AW79" s="7">
        <f t="shared" si="125"/>
        <v>0</v>
      </c>
      <c r="AX79" s="7">
        <f t="shared" si="126"/>
        <v>0</v>
      </c>
      <c r="AY79" s="484">
        <f t="shared" si="88"/>
        <v>0</v>
      </c>
      <c r="AZ79" s="7">
        <f t="shared" si="127"/>
        <v>0</v>
      </c>
      <c r="BA79" s="483">
        <f t="shared" si="89"/>
        <v>0</v>
      </c>
      <c r="BB79" s="487" t="str">
        <f t="shared" si="90"/>
        <v/>
      </c>
      <c r="BC79" s="487" t="str">
        <f t="shared" si="91"/>
        <v/>
      </c>
      <c r="BD79" s="7">
        <f t="shared" si="128"/>
        <v>0</v>
      </c>
      <c r="BE79" s="7">
        <f t="shared" si="129"/>
        <v>0</v>
      </c>
      <c r="BF79" s="7">
        <f t="shared" si="130"/>
        <v>0</v>
      </c>
      <c r="BG79" s="8" t="b">
        <f t="shared" si="131"/>
        <v>0</v>
      </c>
      <c r="BH79" s="235" t="str">
        <f t="shared" si="132"/>
        <v/>
      </c>
      <c r="BI79" s="75">
        <f t="shared" si="133"/>
        <v>0</v>
      </c>
      <c r="BJ79" s="15">
        <f t="shared" si="134"/>
        <v>0</v>
      </c>
      <c r="BK79" s="15">
        <f t="shared" si="187"/>
        <v>0</v>
      </c>
      <c r="BL79" s="18">
        <f t="shared" si="135"/>
        <v>0</v>
      </c>
      <c r="BM79" s="78">
        <f t="shared" si="136"/>
        <v>0</v>
      </c>
      <c r="BN79" s="14">
        <f t="shared" si="137"/>
        <v>0</v>
      </c>
      <c r="BO79" s="14">
        <f t="shared" si="138"/>
        <v>0</v>
      </c>
      <c r="BP79" s="15">
        <f t="shared" si="188"/>
        <v>0</v>
      </c>
      <c r="BQ79" s="73">
        <f t="shared" si="139"/>
        <v>0</v>
      </c>
      <c r="BR79" s="13"/>
      <c r="BS79" s="75">
        <f t="shared" si="106"/>
        <v>0</v>
      </c>
      <c r="BT79" s="15">
        <f t="shared" si="107"/>
        <v>0</v>
      </c>
      <c r="BU79" s="15">
        <f t="shared" si="108"/>
        <v>0</v>
      </c>
      <c r="BV79" s="17">
        <f t="shared" si="109"/>
        <v>0</v>
      </c>
      <c r="BW79" s="72">
        <f t="shared" si="140"/>
        <v>0</v>
      </c>
      <c r="BX79" s="14">
        <f t="shared" si="141"/>
        <v>0</v>
      </c>
      <c r="BY79" s="15">
        <f t="shared" si="189"/>
        <v>0</v>
      </c>
      <c r="BZ79" s="14">
        <f t="shared" si="98"/>
        <v>0</v>
      </c>
      <c r="CA79" s="73">
        <f t="shared" si="142"/>
        <v>0</v>
      </c>
      <c r="CB79" s="192" t="e">
        <f t="shared" si="143"/>
        <v>#DIV/0!</v>
      </c>
      <c r="CC79" s="72" t="e">
        <f t="shared" si="144"/>
        <v>#DIV/0!</v>
      </c>
      <c r="CD79" s="14">
        <f t="shared" si="145"/>
        <v>0</v>
      </c>
      <c r="CE79" s="19">
        <f t="shared" si="183"/>
        <v>0</v>
      </c>
      <c r="CF79" s="19">
        <f t="shared" si="146"/>
        <v>0</v>
      </c>
      <c r="CG79" s="20" t="e">
        <f t="shared" si="147"/>
        <v>#DIV/0!</v>
      </c>
      <c r="CH79" s="20" t="e">
        <f t="shared" si="148"/>
        <v>#DIV/0!</v>
      </c>
      <c r="CI79" s="83" t="e">
        <f t="shared" si="190"/>
        <v>#DIV/0!</v>
      </c>
      <c r="CJ79" s="77" t="e">
        <f t="shared" si="149"/>
        <v>#DIV/0!</v>
      </c>
      <c r="CK79" s="2" t="e">
        <f t="shared" si="101"/>
        <v>#DIV/0!</v>
      </c>
      <c r="CL79" s="2" t="str">
        <f t="shared" si="150"/>
        <v/>
      </c>
      <c r="CM79" s="231" t="e">
        <f t="shared" si="102"/>
        <v>#DIV/0!</v>
      </c>
      <c r="CN79" s="233" t="e">
        <f t="shared" si="103"/>
        <v>#DIV/0!</v>
      </c>
      <c r="CO79" s="233">
        <f t="shared" si="104"/>
        <v>0</v>
      </c>
      <c r="CP79" s="2">
        <f t="shared" si="151"/>
        <v>1</v>
      </c>
      <c r="CQ79" s="2">
        <f t="shared" si="152"/>
        <v>1</v>
      </c>
      <c r="CR79" s="2" t="str">
        <f t="shared" si="153"/>
        <v/>
      </c>
      <c r="CS79" s="2">
        <f t="shared" si="154"/>
        <v>0</v>
      </c>
      <c r="CT79" s="191">
        <f t="shared" si="155"/>
        <v>0</v>
      </c>
      <c r="CU79" s="2" t="str">
        <f t="shared" si="156"/>
        <v>OK</v>
      </c>
      <c r="CV79" s="232">
        <f t="shared" si="157"/>
        <v>0.05</v>
      </c>
      <c r="CW79" s="191" t="e">
        <f t="shared" si="158"/>
        <v>#DIV/0!</v>
      </c>
      <c r="CX79" s="191" t="e">
        <f t="shared" si="159"/>
        <v>#DIV/0!</v>
      </c>
      <c r="CY79" s="191" t="e">
        <f t="shared" si="160"/>
        <v>#DIV/0!</v>
      </c>
      <c r="CZ79" s="191" t="e">
        <f t="shared" si="161"/>
        <v>#DIV/0!</v>
      </c>
      <c r="DA79" s="191">
        <f t="shared" si="162"/>
        <v>1</v>
      </c>
      <c r="DB79" s="191">
        <f t="shared" si="163"/>
        <v>0</v>
      </c>
      <c r="DC79" s="2" t="str">
        <f t="shared" si="164"/>
        <v>Soft</v>
      </c>
      <c r="DD79" s="2"/>
      <c r="DE79" s="2">
        <f t="shared" si="165"/>
        <v>0</v>
      </c>
      <c r="DF79" s="191" t="e">
        <f t="shared" si="166"/>
        <v>#DIV/0!</v>
      </c>
      <c r="DG79" s="191" t="e">
        <f t="shared" si="167"/>
        <v>#DIV/0!</v>
      </c>
      <c r="DH79" s="191" t="e">
        <f t="shared" si="168"/>
        <v>#DIV/0!</v>
      </c>
      <c r="DI79" s="191" t="e">
        <f t="shared" si="169"/>
        <v>#DIV/0!</v>
      </c>
      <c r="DJ79" s="191" t="e">
        <f t="shared" si="105"/>
        <v>#DIV/0!</v>
      </c>
      <c r="DK79" s="2"/>
      <c r="DL79" s="2"/>
      <c r="DM79" s="2"/>
      <c r="DN79" s="2">
        <f t="shared" si="170"/>
        <v>1</v>
      </c>
      <c r="DO79" s="191" t="e">
        <f t="shared" si="171"/>
        <v>#DIV/0!</v>
      </c>
      <c r="DP79" s="191" t="e">
        <f t="shared" si="172"/>
        <v>#DIV/0!</v>
      </c>
      <c r="DQ79" s="191" t="e">
        <f t="shared" si="173"/>
        <v>#DIV/0!</v>
      </c>
      <c r="DR79" s="191" t="e">
        <f t="shared" si="174"/>
        <v>#DIV/0!</v>
      </c>
      <c r="DS79" s="191" t="e">
        <f t="shared" si="175"/>
        <v>#DIV/0!</v>
      </c>
      <c r="DT79" s="191" t="e">
        <f t="shared" si="176"/>
        <v>#DIV/0!</v>
      </c>
      <c r="DU79" s="191">
        <f t="shared" si="177"/>
        <v>0</v>
      </c>
      <c r="DV79" s="2"/>
      <c r="DW79" s="2" t="b">
        <f t="shared" si="178"/>
        <v>1</v>
      </c>
      <c r="DX79" s="2" t="b">
        <f t="shared" si="179"/>
        <v>1</v>
      </c>
      <c r="DY79" s="2" t="b">
        <f t="shared" si="180"/>
        <v>1</v>
      </c>
      <c r="DZ79" s="2" t="b">
        <f t="shared" si="181"/>
        <v>1</v>
      </c>
      <c r="EA79" s="2" t="b">
        <f t="shared" si="182"/>
        <v>1</v>
      </c>
      <c r="EB79"/>
    </row>
    <row r="80" spans="1:132" s="108" customFormat="1" ht="18.5" hidden="1" thickBot="1" x14ac:dyDescent="0.45">
      <c r="A80" s="109"/>
      <c r="B80" s="88" t="str">
        <f t="shared" si="80"/>
        <v>-</v>
      </c>
      <c r="C80" s="118">
        <v>61</v>
      </c>
      <c r="D80" s="794"/>
      <c r="E80" s="795"/>
      <c r="F80" s="566"/>
      <c r="G80" s="567"/>
      <c r="H80" s="568"/>
      <c r="I80" s="558"/>
      <c r="J80" s="559"/>
      <c r="K80" s="560"/>
      <c r="L80" s="560"/>
      <c r="M80" s="560"/>
      <c r="N80" s="561"/>
      <c r="O80" s="562"/>
      <c r="P80" s="563"/>
      <c r="Q80" s="564"/>
      <c r="R80" s="565"/>
      <c r="S80" s="112" t="str">
        <f t="shared" si="110"/>
        <v/>
      </c>
      <c r="T80" s="113" t="str">
        <f t="shared" si="111"/>
        <v/>
      </c>
      <c r="U80" s="114">
        <f t="shared" si="112"/>
        <v>0</v>
      </c>
      <c r="V80" s="117" t="str">
        <f t="shared" si="113"/>
        <v/>
      </c>
      <c r="W80" s="234" t="str">
        <f t="shared" si="114"/>
        <v/>
      </c>
      <c r="X80" s="115">
        <f t="shared" si="184"/>
        <v>0</v>
      </c>
      <c r="Y80" s="116" t="str">
        <f t="shared" si="115"/>
        <v/>
      </c>
      <c r="Z80" s="111"/>
      <c r="AA80" s="2"/>
      <c r="AB80" s="2">
        <v>61</v>
      </c>
      <c r="AC80" s="22" t="str">
        <f t="shared" si="185"/>
        <v>-</v>
      </c>
      <c r="AD80" s="22">
        <f t="shared" si="186"/>
        <v>0</v>
      </c>
      <c r="AE80" s="22">
        <f t="shared" si="82"/>
        <v>0</v>
      </c>
      <c r="AF80" s="22"/>
      <c r="AG80" s="21">
        <f t="shared" si="83"/>
        <v>0</v>
      </c>
      <c r="AH80" s="6">
        <f t="shared" si="116"/>
        <v>0</v>
      </c>
      <c r="AI80" s="7">
        <f>IF(SUM(AH80:AH$99)=0,0,F80&gt;0)</f>
        <v>0</v>
      </c>
      <c r="AJ80" s="6">
        <f t="shared" si="117"/>
        <v>0</v>
      </c>
      <c r="AK80" s="7">
        <f>IF(SUM(AH80:AH$99)=0,0,AND(AI80=FALSE,AJ80=0,SUM(AJ80:AJ$99)&gt;0))</f>
        <v>0</v>
      </c>
      <c r="AL80" s="7">
        <f t="shared" si="84"/>
        <v>0</v>
      </c>
      <c r="AM80" s="7">
        <f t="shared" si="118"/>
        <v>0</v>
      </c>
      <c r="AN80" s="9">
        <f t="shared" si="119"/>
        <v>0</v>
      </c>
      <c r="AO80" s="9">
        <f t="shared" si="120"/>
        <v>0</v>
      </c>
      <c r="AP80" s="486">
        <f t="shared" si="121"/>
        <v>0</v>
      </c>
      <c r="AQ80" s="486">
        <f t="shared" si="85"/>
        <v>0</v>
      </c>
      <c r="AR80" s="7">
        <f t="shared" si="122"/>
        <v>0</v>
      </c>
      <c r="AS80" s="7" t="str">
        <f t="shared" si="86"/>
        <v/>
      </c>
      <c r="AT80" s="7">
        <f t="shared" si="123"/>
        <v>0</v>
      </c>
      <c r="AU80" s="485">
        <f t="shared" si="87"/>
        <v>0</v>
      </c>
      <c r="AV80" s="7">
        <f t="shared" si="124"/>
        <v>0</v>
      </c>
      <c r="AW80" s="7">
        <f t="shared" si="125"/>
        <v>0</v>
      </c>
      <c r="AX80" s="7">
        <f t="shared" si="126"/>
        <v>0</v>
      </c>
      <c r="AY80" s="484">
        <f t="shared" si="88"/>
        <v>0</v>
      </c>
      <c r="AZ80" s="7">
        <f t="shared" si="127"/>
        <v>0</v>
      </c>
      <c r="BA80" s="483">
        <f t="shared" si="89"/>
        <v>0</v>
      </c>
      <c r="BB80" s="487" t="str">
        <f t="shared" si="90"/>
        <v/>
      </c>
      <c r="BC80" s="487" t="str">
        <f t="shared" si="91"/>
        <v/>
      </c>
      <c r="BD80" s="7">
        <f t="shared" si="128"/>
        <v>0</v>
      </c>
      <c r="BE80" s="7">
        <f t="shared" si="129"/>
        <v>0</v>
      </c>
      <c r="BF80" s="7">
        <f t="shared" si="130"/>
        <v>0</v>
      </c>
      <c r="BG80" s="8" t="b">
        <f t="shared" si="131"/>
        <v>0</v>
      </c>
      <c r="BH80" s="235" t="str">
        <f t="shared" si="132"/>
        <v/>
      </c>
      <c r="BI80" s="75">
        <f t="shared" si="133"/>
        <v>0</v>
      </c>
      <c r="BJ80" s="15">
        <f t="shared" si="134"/>
        <v>0</v>
      </c>
      <c r="BK80" s="15">
        <f t="shared" si="187"/>
        <v>0</v>
      </c>
      <c r="BL80" s="18">
        <f t="shared" si="135"/>
        <v>0</v>
      </c>
      <c r="BM80" s="78">
        <f t="shared" si="136"/>
        <v>0</v>
      </c>
      <c r="BN80" s="14">
        <f t="shared" si="137"/>
        <v>0</v>
      </c>
      <c r="BO80" s="14">
        <f t="shared" si="138"/>
        <v>0</v>
      </c>
      <c r="BP80" s="15">
        <f t="shared" si="188"/>
        <v>0</v>
      </c>
      <c r="BQ80" s="73">
        <f t="shared" si="139"/>
        <v>0</v>
      </c>
      <c r="BR80" s="13"/>
      <c r="BS80" s="75">
        <f t="shared" si="106"/>
        <v>0</v>
      </c>
      <c r="BT80" s="15">
        <f t="shared" si="107"/>
        <v>0</v>
      </c>
      <c r="BU80" s="15">
        <f t="shared" si="108"/>
        <v>0</v>
      </c>
      <c r="BV80" s="17">
        <f t="shared" si="109"/>
        <v>0</v>
      </c>
      <c r="BW80" s="72">
        <f t="shared" si="140"/>
        <v>0</v>
      </c>
      <c r="BX80" s="14">
        <f t="shared" si="141"/>
        <v>0</v>
      </c>
      <c r="BY80" s="15">
        <f t="shared" si="189"/>
        <v>0</v>
      </c>
      <c r="BZ80" s="14">
        <f t="shared" si="98"/>
        <v>0</v>
      </c>
      <c r="CA80" s="73">
        <f t="shared" si="142"/>
        <v>0</v>
      </c>
      <c r="CB80" s="192" t="e">
        <f t="shared" si="143"/>
        <v>#DIV/0!</v>
      </c>
      <c r="CC80" s="72" t="e">
        <f t="shared" si="144"/>
        <v>#DIV/0!</v>
      </c>
      <c r="CD80" s="14">
        <f t="shared" si="145"/>
        <v>0</v>
      </c>
      <c r="CE80" s="19">
        <f t="shared" si="183"/>
        <v>0</v>
      </c>
      <c r="CF80" s="19">
        <f t="shared" si="146"/>
        <v>0</v>
      </c>
      <c r="CG80" s="20" t="e">
        <f t="shared" si="147"/>
        <v>#DIV/0!</v>
      </c>
      <c r="CH80" s="20" t="e">
        <f t="shared" si="148"/>
        <v>#DIV/0!</v>
      </c>
      <c r="CI80" s="83" t="e">
        <f t="shared" si="190"/>
        <v>#DIV/0!</v>
      </c>
      <c r="CJ80" s="77" t="e">
        <f t="shared" si="149"/>
        <v>#DIV/0!</v>
      </c>
      <c r="CK80" s="2" t="e">
        <f t="shared" si="101"/>
        <v>#DIV/0!</v>
      </c>
      <c r="CL80" s="2" t="str">
        <f t="shared" si="150"/>
        <v/>
      </c>
      <c r="CM80" s="231" t="e">
        <f t="shared" si="102"/>
        <v>#DIV/0!</v>
      </c>
      <c r="CN80" s="233" t="e">
        <f t="shared" si="103"/>
        <v>#DIV/0!</v>
      </c>
      <c r="CO80" s="233">
        <f t="shared" si="104"/>
        <v>0</v>
      </c>
      <c r="CP80" s="2">
        <f t="shared" si="151"/>
        <v>1</v>
      </c>
      <c r="CQ80" s="2">
        <f t="shared" si="152"/>
        <v>1</v>
      </c>
      <c r="CR80" s="2" t="str">
        <f t="shared" si="153"/>
        <v/>
      </c>
      <c r="CS80" s="2">
        <f t="shared" si="154"/>
        <v>0</v>
      </c>
      <c r="CT80" s="191">
        <f t="shared" si="155"/>
        <v>0</v>
      </c>
      <c r="CU80" s="2" t="str">
        <f t="shared" si="156"/>
        <v>OK</v>
      </c>
      <c r="CV80" s="232">
        <f t="shared" si="157"/>
        <v>0.05</v>
      </c>
      <c r="CW80" s="191" t="e">
        <f t="shared" si="158"/>
        <v>#DIV/0!</v>
      </c>
      <c r="CX80" s="191" t="e">
        <f t="shared" si="159"/>
        <v>#DIV/0!</v>
      </c>
      <c r="CY80" s="191" t="e">
        <f t="shared" si="160"/>
        <v>#DIV/0!</v>
      </c>
      <c r="CZ80" s="191" t="e">
        <f t="shared" si="161"/>
        <v>#DIV/0!</v>
      </c>
      <c r="DA80" s="191">
        <f t="shared" si="162"/>
        <v>1</v>
      </c>
      <c r="DB80" s="191">
        <f t="shared" si="163"/>
        <v>0</v>
      </c>
      <c r="DC80" s="2" t="str">
        <f t="shared" si="164"/>
        <v>Soft</v>
      </c>
      <c r="DD80" s="2"/>
      <c r="DE80" s="2">
        <f t="shared" si="165"/>
        <v>0</v>
      </c>
      <c r="DF80" s="191" t="e">
        <f t="shared" si="166"/>
        <v>#DIV/0!</v>
      </c>
      <c r="DG80" s="191" t="e">
        <f t="shared" si="167"/>
        <v>#DIV/0!</v>
      </c>
      <c r="DH80" s="191" t="e">
        <f t="shared" si="168"/>
        <v>#DIV/0!</v>
      </c>
      <c r="DI80" s="191" t="e">
        <f t="shared" si="169"/>
        <v>#DIV/0!</v>
      </c>
      <c r="DJ80" s="191" t="e">
        <f t="shared" si="105"/>
        <v>#DIV/0!</v>
      </c>
      <c r="DK80" s="2"/>
      <c r="DL80" s="2"/>
      <c r="DM80" s="2"/>
      <c r="DN80" s="2">
        <f t="shared" si="170"/>
        <v>1</v>
      </c>
      <c r="DO80" s="191" t="e">
        <f t="shared" si="171"/>
        <v>#DIV/0!</v>
      </c>
      <c r="DP80" s="191" t="e">
        <f t="shared" si="172"/>
        <v>#DIV/0!</v>
      </c>
      <c r="DQ80" s="191" t="e">
        <f t="shared" si="173"/>
        <v>#DIV/0!</v>
      </c>
      <c r="DR80" s="191" t="e">
        <f t="shared" si="174"/>
        <v>#DIV/0!</v>
      </c>
      <c r="DS80" s="191" t="e">
        <f t="shared" si="175"/>
        <v>#DIV/0!</v>
      </c>
      <c r="DT80" s="191" t="e">
        <f t="shared" si="176"/>
        <v>#DIV/0!</v>
      </c>
      <c r="DU80" s="191">
        <f t="shared" si="177"/>
        <v>0</v>
      </c>
      <c r="DV80" s="2"/>
      <c r="DW80" s="2" t="b">
        <f t="shared" si="178"/>
        <v>1</v>
      </c>
      <c r="DX80" s="2" t="b">
        <f t="shared" si="179"/>
        <v>1</v>
      </c>
      <c r="DY80" s="2" t="b">
        <f t="shared" si="180"/>
        <v>1</v>
      </c>
      <c r="DZ80" s="2" t="b">
        <f t="shared" si="181"/>
        <v>1</v>
      </c>
      <c r="EA80" s="2" t="b">
        <f t="shared" si="182"/>
        <v>1</v>
      </c>
      <c r="EB80"/>
    </row>
    <row r="81" spans="1:132" s="108" customFormat="1" ht="18.5" hidden="1" thickBot="1" x14ac:dyDescent="0.45">
      <c r="A81" s="109"/>
      <c r="B81" s="88" t="str">
        <f t="shared" si="80"/>
        <v>-</v>
      </c>
      <c r="C81" s="118">
        <v>62</v>
      </c>
      <c r="D81" s="794"/>
      <c r="E81" s="795"/>
      <c r="F81" s="566"/>
      <c r="G81" s="567"/>
      <c r="H81" s="568"/>
      <c r="I81" s="558"/>
      <c r="J81" s="559"/>
      <c r="K81" s="560"/>
      <c r="L81" s="560"/>
      <c r="M81" s="560"/>
      <c r="N81" s="561"/>
      <c r="O81" s="562"/>
      <c r="P81" s="563"/>
      <c r="Q81" s="564"/>
      <c r="R81" s="565"/>
      <c r="S81" s="112" t="str">
        <f t="shared" si="110"/>
        <v/>
      </c>
      <c r="T81" s="113" t="str">
        <f t="shared" si="111"/>
        <v/>
      </c>
      <c r="U81" s="114">
        <f t="shared" si="112"/>
        <v>0</v>
      </c>
      <c r="V81" s="117" t="str">
        <f t="shared" si="113"/>
        <v/>
      </c>
      <c r="W81" s="234" t="str">
        <f t="shared" si="114"/>
        <v/>
      </c>
      <c r="X81" s="115">
        <f t="shared" si="184"/>
        <v>0</v>
      </c>
      <c r="Y81" s="116" t="str">
        <f t="shared" si="115"/>
        <v/>
      </c>
      <c r="Z81" s="111"/>
      <c r="AA81" s="2"/>
      <c r="AB81" s="2">
        <v>62</v>
      </c>
      <c r="AC81" s="22" t="str">
        <f t="shared" si="185"/>
        <v>-</v>
      </c>
      <c r="AD81" s="22">
        <f t="shared" si="186"/>
        <v>0</v>
      </c>
      <c r="AE81" s="22">
        <f t="shared" si="82"/>
        <v>0</v>
      </c>
      <c r="AF81" s="22"/>
      <c r="AG81" s="21">
        <f t="shared" si="83"/>
        <v>0</v>
      </c>
      <c r="AH81" s="6">
        <f t="shared" si="116"/>
        <v>0</v>
      </c>
      <c r="AI81" s="7">
        <f>IF(SUM(AH81:AH$99)=0,0,F81&gt;0)</f>
        <v>0</v>
      </c>
      <c r="AJ81" s="6">
        <f t="shared" si="117"/>
        <v>0</v>
      </c>
      <c r="AK81" s="7">
        <f>IF(SUM(AH81:AH$99)=0,0,AND(AI81=FALSE,AJ81=0,SUM(AJ81:AJ$99)&gt;0))</f>
        <v>0</v>
      </c>
      <c r="AL81" s="7">
        <f t="shared" si="84"/>
        <v>0</v>
      </c>
      <c r="AM81" s="7">
        <f t="shared" si="118"/>
        <v>0</v>
      </c>
      <c r="AN81" s="9">
        <f t="shared" si="119"/>
        <v>0</v>
      </c>
      <c r="AO81" s="9">
        <f t="shared" si="120"/>
        <v>0</v>
      </c>
      <c r="AP81" s="486">
        <f t="shared" si="121"/>
        <v>0</v>
      </c>
      <c r="AQ81" s="486">
        <f t="shared" si="85"/>
        <v>0</v>
      </c>
      <c r="AR81" s="7">
        <f t="shared" si="122"/>
        <v>0</v>
      </c>
      <c r="AS81" s="7" t="str">
        <f t="shared" si="86"/>
        <v/>
      </c>
      <c r="AT81" s="7">
        <f t="shared" si="123"/>
        <v>0</v>
      </c>
      <c r="AU81" s="485">
        <f t="shared" si="87"/>
        <v>0</v>
      </c>
      <c r="AV81" s="7">
        <f t="shared" si="124"/>
        <v>0</v>
      </c>
      <c r="AW81" s="7">
        <f t="shared" si="125"/>
        <v>0</v>
      </c>
      <c r="AX81" s="7">
        <f t="shared" si="126"/>
        <v>0</v>
      </c>
      <c r="AY81" s="484">
        <f t="shared" si="88"/>
        <v>0</v>
      </c>
      <c r="AZ81" s="7">
        <f t="shared" si="127"/>
        <v>0</v>
      </c>
      <c r="BA81" s="483">
        <f t="shared" si="89"/>
        <v>0</v>
      </c>
      <c r="BB81" s="487" t="str">
        <f t="shared" si="90"/>
        <v/>
      </c>
      <c r="BC81" s="487" t="str">
        <f t="shared" si="91"/>
        <v/>
      </c>
      <c r="BD81" s="7">
        <f t="shared" si="128"/>
        <v>0</v>
      </c>
      <c r="BE81" s="7">
        <f t="shared" si="129"/>
        <v>0</v>
      </c>
      <c r="BF81" s="7">
        <f t="shared" si="130"/>
        <v>0</v>
      </c>
      <c r="BG81" s="8" t="b">
        <f t="shared" si="131"/>
        <v>0</v>
      </c>
      <c r="BH81" s="235" t="str">
        <f t="shared" si="132"/>
        <v/>
      </c>
      <c r="BI81" s="75">
        <f t="shared" si="133"/>
        <v>0</v>
      </c>
      <c r="BJ81" s="15">
        <f t="shared" si="134"/>
        <v>0</v>
      </c>
      <c r="BK81" s="15">
        <f t="shared" si="187"/>
        <v>0</v>
      </c>
      <c r="BL81" s="18">
        <f t="shared" si="135"/>
        <v>0</v>
      </c>
      <c r="BM81" s="78">
        <f t="shared" si="136"/>
        <v>0</v>
      </c>
      <c r="BN81" s="14">
        <f t="shared" si="137"/>
        <v>0</v>
      </c>
      <c r="BO81" s="14">
        <f t="shared" si="138"/>
        <v>0</v>
      </c>
      <c r="BP81" s="15">
        <f t="shared" si="188"/>
        <v>0</v>
      </c>
      <c r="BQ81" s="73">
        <f t="shared" si="139"/>
        <v>0</v>
      </c>
      <c r="BR81" s="13"/>
      <c r="BS81" s="75">
        <f t="shared" si="106"/>
        <v>0</v>
      </c>
      <c r="BT81" s="15">
        <f t="shared" si="107"/>
        <v>0</v>
      </c>
      <c r="BU81" s="15">
        <f t="shared" si="108"/>
        <v>0</v>
      </c>
      <c r="BV81" s="17">
        <f t="shared" si="109"/>
        <v>0</v>
      </c>
      <c r="BW81" s="72">
        <f t="shared" si="140"/>
        <v>0</v>
      </c>
      <c r="BX81" s="14">
        <f t="shared" si="141"/>
        <v>0</v>
      </c>
      <c r="BY81" s="15">
        <f t="shared" si="189"/>
        <v>0</v>
      </c>
      <c r="BZ81" s="14">
        <f t="shared" si="98"/>
        <v>0</v>
      </c>
      <c r="CA81" s="73">
        <f t="shared" si="142"/>
        <v>0</v>
      </c>
      <c r="CB81" s="192" t="e">
        <f t="shared" si="143"/>
        <v>#DIV/0!</v>
      </c>
      <c r="CC81" s="72" t="e">
        <f t="shared" si="144"/>
        <v>#DIV/0!</v>
      </c>
      <c r="CD81" s="14">
        <f t="shared" si="145"/>
        <v>0</v>
      </c>
      <c r="CE81" s="19">
        <f t="shared" si="183"/>
        <v>0</v>
      </c>
      <c r="CF81" s="19">
        <f t="shared" si="146"/>
        <v>0</v>
      </c>
      <c r="CG81" s="20" t="e">
        <f t="shared" si="147"/>
        <v>#DIV/0!</v>
      </c>
      <c r="CH81" s="20" t="e">
        <f t="shared" si="148"/>
        <v>#DIV/0!</v>
      </c>
      <c r="CI81" s="83" t="e">
        <f t="shared" si="190"/>
        <v>#DIV/0!</v>
      </c>
      <c r="CJ81" s="77" t="e">
        <f t="shared" si="149"/>
        <v>#DIV/0!</v>
      </c>
      <c r="CK81" s="2" t="e">
        <f t="shared" si="101"/>
        <v>#DIV/0!</v>
      </c>
      <c r="CL81" s="2" t="str">
        <f t="shared" si="150"/>
        <v/>
      </c>
      <c r="CM81" s="231" t="e">
        <f t="shared" si="102"/>
        <v>#DIV/0!</v>
      </c>
      <c r="CN81" s="233" t="e">
        <f t="shared" si="103"/>
        <v>#DIV/0!</v>
      </c>
      <c r="CO81" s="233">
        <f t="shared" si="104"/>
        <v>0</v>
      </c>
      <c r="CP81" s="2">
        <f t="shared" si="151"/>
        <v>1</v>
      </c>
      <c r="CQ81" s="2">
        <f t="shared" si="152"/>
        <v>1</v>
      </c>
      <c r="CR81" s="2" t="str">
        <f t="shared" si="153"/>
        <v/>
      </c>
      <c r="CS81" s="2">
        <f t="shared" si="154"/>
        <v>0</v>
      </c>
      <c r="CT81" s="191">
        <f t="shared" si="155"/>
        <v>0</v>
      </c>
      <c r="CU81" s="2" t="str">
        <f t="shared" si="156"/>
        <v>OK</v>
      </c>
      <c r="CV81" s="232">
        <f t="shared" si="157"/>
        <v>0.05</v>
      </c>
      <c r="CW81" s="191" t="e">
        <f t="shared" si="158"/>
        <v>#DIV/0!</v>
      </c>
      <c r="CX81" s="191" t="e">
        <f t="shared" si="159"/>
        <v>#DIV/0!</v>
      </c>
      <c r="CY81" s="191" t="e">
        <f t="shared" si="160"/>
        <v>#DIV/0!</v>
      </c>
      <c r="CZ81" s="191" t="e">
        <f t="shared" si="161"/>
        <v>#DIV/0!</v>
      </c>
      <c r="DA81" s="191">
        <f t="shared" si="162"/>
        <v>1</v>
      </c>
      <c r="DB81" s="191">
        <f t="shared" si="163"/>
        <v>0</v>
      </c>
      <c r="DC81" s="2" t="str">
        <f t="shared" si="164"/>
        <v>Soft</v>
      </c>
      <c r="DD81" s="2"/>
      <c r="DE81" s="2">
        <f t="shared" si="165"/>
        <v>0</v>
      </c>
      <c r="DF81" s="191" t="e">
        <f t="shared" si="166"/>
        <v>#DIV/0!</v>
      </c>
      <c r="DG81" s="191" t="e">
        <f t="shared" si="167"/>
        <v>#DIV/0!</v>
      </c>
      <c r="DH81" s="191" t="e">
        <f t="shared" si="168"/>
        <v>#DIV/0!</v>
      </c>
      <c r="DI81" s="191" t="e">
        <f t="shared" si="169"/>
        <v>#DIV/0!</v>
      </c>
      <c r="DJ81" s="191" t="e">
        <f t="shared" si="105"/>
        <v>#DIV/0!</v>
      </c>
      <c r="DK81" s="2"/>
      <c r="DL81" s="2"/>
      <c r="DM81" s="2"/>
      <c r="DN81" s="2">
        <f t="shared" si="170"/>
        <v>1</v>
      </c>
      <c r="DO81" s="191" t="e">
        <f t="shared" si="171"/>
        <v>#DIV/0!</v>
      </c>
      <c r="DP81" s="191" t="e">
        <f t="shared" si="172"/>
        <v>#DIV/0!</v>
      </c>
      <c r="DQ81" s="191" t="e">
        <f t="shared" si="173"/>
        <v>#DIV/0!</v>
      </c>
      <c r="DR81" s="191" t="e">
        <f t="shared" si="174"/>
        <v>#DIV/0!</v>
      </c>
      <c r="DS81" s="191" t="e">
        <f t="shared" si="175"/>
        <v>#DIV/0!</v>
      </c>
      <c r="DT81" s="191" t="e">
        <f t="shared" si="176"/>
        <v>#DIV/0!</v>
      </c>
      <c r="DU81" s="191">
        <f t="shared" si="177"/>
        <v>0</v>
      </c>
      <c r="DV81" s="2"/>
      <c r="DW81" s="2" t="b">
        <f t="shared" si="178"/>
        <v>1</v>
      </c>
      <c r="DX81" s="2" t="b">
        <f t="shared" si="179"/>
        <v>1</v>
      </c>
      <c r="DY81" s="2" t="b">
        <f t="shared" si="180"/>
        <v>1</v>
      </c>
      <c r="DZ81" s="2" t="b">
        <f t="shared" si="181"/>
        <v>1</v>
      </c>
      <c r="EA81" s="2" t="b">
        <f t="shared" si="182"/>
        <v>1</v>
      </c>
      <c r="EB81"/>
    </row>
    <row r="82" spans="1:132" s="108" customFormat="1" ht="18.5" hidden="1" thickBot="1" x14ac:dyDescent="0.45">
      <c r="A82" s="109"/>
      <c r="B82" s="88" t="str">
        <f t="shared" si="80"/>
        <v>-</v>
      </c>
      <c r="C82" s="118">
        <v>63</v>
      </c>
      <c r="D82" s="794"/>
      <c r="E82" s="795"/>
      <c r="F82" s="566"/>
      <c r="G82" s="567"/>
      <c r="H82" s="568"/>
      <c r="I82" s="558"/>
      <c r="J82" s="559"/>
      <c r="K82" s="560"/>
      <c r="L82" s="560"/>
      <c r="M82" s="560"/>
      <c r="N82" s="561"/>
      <c r="O82" s="562"/>
      <c r="P82" s="563"/>
      <c r="Q82" s="564"/>
      <c r="R82" s="565"/>
      <c r="S82" s="112" t="str">
        <f t="shared" si="110"/>
        <v/>
      </c>
      <c r="T82" s="113" t="str">
        <f t="shared" si="111"/>
        <v/>
      </c>
      <c r="U82" s="114">
        <f t="shared" si="112"/>
        <v>0</v>
      </c>
      <c r="V82" s="117" t="str">
        <f t="shared" si="113"/>
        <v/>
      </c>
      <c r="W82" s="234" t="str">
        <f t="shared" si="114"/>
        <v/>
      </c>
      <c r="X82" s="115">
        <f t="shared" si="184"/>
        <v>0</v>
      </c>
      <c r="Y82" s="116" t="str">
        <f t="shared" si="115"/>
        <v/>
      </c>
      <c r="Z82" s="111"/>
      <c r="AA82" s="2"/>
      <c r="AB82" s="2">
        <v>63</v>
      </c>
      <c r="AC82" s="22" t="str">
        <f t="shared" si="185"/>
        <v>-</v>
      </c>
      <c r="AD82" s="22">
        <f t="shared" si="186"/>
        <v>0</v>
      </c>
      <c r="AE82" s="22">
        <f t="shared" si="82"/>
        <v>0</v>
      </c>
      <c r="AF82" s="22"/>
      <c r="AG82" s="21">
        <f t="shared" si="83"/>
        <v>0</v>
      </c>
      <c r="AH82" s="6">
        <f t="shared" si="116"/>
        <v>0</v>
      </c>
      <c r="AI82" s="7">
        <f>IF(SUM(AH82:AH$99)=0,0,F82&gt;0)</f>
        <v>0</v>
      </c>
      <c r="AJ82" s="6">
        <f t="shared" si="117"/>
        <v>0</v>
      </c>
      <c r="AK82" s="7">
        <f>IF(SUM(AH82:AH$99)=0,0,AND(AI82=FALSE,AJ82=0,SUM(AJ82:AJ$99)&gt;0))</f>
        <v>0</v>
      </c>
      <c r="AL82" s="7">
        <f t="shared" si="84"/>
        <v>0</v>
      </c>
      <c r="AM82" s="7">
        <f t="shared" si="118"/>
        <v>0</v>
      </c>
      <c r="AN82" s="9">
        <f t="shared" si="119"/>
        <v>0</v>
      </c>
      <c r="AO82" s="9">
        <f t="shared" si="120"/>
        <v>0</v>
      </c>
      <c r="AP82" s="486">
        <f t="shared" si="121"/>
        <v>0</v>
      </c>
      <c r="AQ82" s="486">
        <f t="shared" si="85"/>
        <v>0</v>
      </c>
      <c r="AR82" s="7">
        <f t="shared" si="122"/>
        <v>0</v>
      </c>
      <c r="AS82" s="7" t="str">
        <f t="shared" si="86"/>
        <v/>
      </c>
      <c r="AT82" s="7">
        <f t="shared" si="123"/>
        <v>0</v>
      </c>
      <c r="AU82" s="485">
        <f t="shared" si="87"/>
        <v>0</v>
      </c>
      <c r="AV82" s="7">
        <f t="shared" si="124"/>
        <v>0</v>
      </c>
      <c r="AW82" s="7">
        <f t="shared" si="125"/>
        <v>0</v>
      </c>
      <c r="AX82" s="7">
        <f t="shared" si="126"/>
        <v>0</v>
      </c>
      <c r="AY82" s="484">
        <f t="shared" si="88"/>
        <v>0</v>
      </c>
      <c r="AZ82" s="7">
        <f t="shared" si="127"/>
        <v>0</v>
      </c>
      <c r="BA82" s="483">
        <f t="shared" si="89"/>
        <v>0</v>
      </c>
      <c r="BB82" s="487" t="str">
        <f t="shared" si="90"/>
        <v/>
      </c>
      <c r="BC82" s="487" t="str">
        <f t="shared" si="91"/>
        <v/>
      </c>
      <c r="BD82" s="7">
        <f t="shared" si="128"/>
        <v>0</v>
      </c>
      <c r="BE82" s="7">
        <f t="shared" si="129"/>
        <v>0</v>
      </c>
      <c r="BF82" s="7">
        <f t="shared" si="130"/>
        <v>0</v>
      </c>
      <c r="BG82" s="8" t="b">
        <f t="shared" si="131"/>
        <v>0</v>
      </c>
      <c r="BH82" s="235" t="str">
        <f t="shared" si="132"/>
        <v/>
      </c>
      <c r="BI82" s="75">
        <f t="shared" si="133"/>
        <v>0</v>
      </c>
      <c r="BJ82" s="15">
        <f t="shared" si="134"/>
        <v>0</v>
      </c>
      <c r="BK82" s="15">
        <f t="shared" si="187"/>
        <v>0</v>
      </c>
      <c r="BL82" s="18">
        <f t="shared" si="135"/>
        <v>0</v>
      </c>
      <c r="BM82" s="78">
        <f t="shared" si="136"/>
        <v>0</v>
      </c>
      <c r="BN82" s="14">
        <f t="shared" si="137"/>
        <v>0</v>
      </c>
      <c r="BO82" s="14">
        <f t="shared" si="138"/>
        <v>0</v>
      </c>
      <c r="BP82" s="15">
        <f t="shared" si="188"/>
        <v>0</v>
      </c>
      <c r="BQ82" s="73">
        <f t="shared" si="139"/>
        <v>0</v>
      </c>
      <c r="BR82" s="13"/>
      <c r="BS82" s="75">
        <f t="shared" si="106"/>
        <v>0</v>
      </c>
      <c r="BT82" s="15">
        <f t="shared" si="107"/>
        <v>0</v>
      </c>
      <c r="BU82" s="15">
        <f t="shared" si="108"/>
        <v>0</v>
      </c>
      <c r="BV82" s="17">
        <f t="shared" si="109"/>
        <v>0</v>
      </c>
      <c r="BW82" s="72">
        <f t="shared" si="140"/>
        <v>0</v>
      </c>
      <c r="BX82" s="14">
        <f t="shared" si="141"/>
        <v>0</v>
      </c>
      <c r="BY82" s="15">
        <f t="shared" si="189"/>
        <v>0</v>
      </c>
      <c r="BZ82" s="14">
        <f t="shared" si="98"/>
        <v>0</v>
      </c>
      <c r="CA82" s="73">
        <f t="shared" si="142"/>
        <v>0</v>
      </c>
      <c r="CB82" s="192" t="e">
        <f t="shared" si="143"/>
        <v>#DIV/0!</v>
      </c>
      <c r="CC82" s="72" t="e">
        <f t="shared" si="144"/>
        <v>#DIV/0!</v>
      </c>
      <c r="CD82" s="14">
        <f t="shared" si="145"/>
        <v>0</v>
      </c>
      <c r="CE82" s="19">
        <f t="shared" si="183"/>
        <v>0</v>
      </c>
      <c r="CF82" s="19">
        <f t="shared" si="146"/>
        <v>0</v>
      </c>
      <c r="CG82" s="20" t="e">
        <f t="shared" si="147"/>
        <v>#DIV/0!</v>
      </c>
      <c r="CH82" s="20" t="e">
        <f t="shared" si="148"/>
        <v>#DIV/0!</v>
      </c>
      <c r="CI82" s="83" t="e">
        <f t="shared" si="190"/>
        <v>#DIV/0!</v>
      </c>
      <c r="CJ82" s="77" t="e">
        <f t="shared" si="149"/>
        <v>#DIV/0!</v>
      </c>
      <c r="CK82" s="2" t="e">
        <f t="shared" si="101"/>
        <v>#DIV/0!</v>
      </c>
      <c r="CL82" s="2" t="str">
        <f t="shared" si="150"/>
        <v/>
      </c>
      <c r="CM82" s="231" t="e">
        <f t="shared" si="102"/>
        <v>#DIV/0!</v>
      </c>
      <c r="CN82" s="233" t="e">
        <f t="shared" si="103"/>
        <v>#DIV/0!</v>
      </c>
      <c r="CO82" s="233">
        <f t="shared" si="104"/>
        <v>0</v>
      </c>
      <c r="CP82" s="2">
        <f t="shared" si="151"/>
        <v>1</v>
      </c>
      <c r="CQ82" s="2">
        <f t="shared" si="152"/>
        <v>1</v>
      </c>
      <c r="CR82" s="2" t="str">
        <f t="shared" si="153"/>
        <v/>
      </c>
      <c r="CS82" s="2">
        <f t="shared" si="154"/>
        <v>0</v>
      </c>
      <c r="CT82" s="191">
        <f t="shared" si="155"/>
        <v>0</v>
      </c>
      <c r="CU82" s="2" t="str">
        <f t="shared" si="156"/>
        <v>OK</v>
      </c>
      <c r="CV82" s="232">
        <f t="shared" si="157"/>
        <v>0.05</v>
      </c>
      <c r="CW82" s="191" t="e">
        <f t="shared" si="158"/>
        <v>#DIV/0!</v>
      </c>
      <c r="CX82" s="191" t="e">
        <f t="shared" si="159"/>
        <v>#DIV/0!</v>
      </c>
      <c r="CY82" s="191" t="e">
        <f t="shared" si="160"/>
        <v>#DIV/0!</v>
      </c>
      <c r="CZ82" s="191" t="e">
        <f t="shared" si="161"/>
        <v>#DIV/0!</v>
      </c>
      <c r="DA82" s="191">
        <f t="shared" si="162"/>
        <v>1</v>
      </c>
      <c r="DB82" s="191">
        <f t="shared" si="163"/>
        <v>0</v>
      </c>
      <c r="DC82" s="2" t="str">
        <f t="shared" si="164"/>
        <v>Soft</v>
      </c>
      <c r="DD82" s="2"/>
      <c r="DE82" s="2">
        <f t="shared" si="165"/>
        <v>0</v>
      </c>
      <c r="DF82" s="191" t="e">
        <f t="shared" si="166"/>
        <v>#DIV/0!</v>
      </c>
      <c r="DG82" s="191" t="e">
        <f t="shared" si="167"/>
        <v>#DIV/0!</v>
      </c>
      <c r="DH82" s="191" t="e">
        <f t="shared" si="168"/>
        <v>#DIV/0!</v>
      </c>
      <c r="DI82" s="191" t="e">
        <f t="shared" si="169"/>
        <v>#DIV/0!</v>
      </c>
      <c r="DJ82" s="191" t="e">
        <f t="shared" si="105"/>
        <v>#DIV/0!</v>
      </c>
      <c r="DK82" s="2"/>
      <c r="DL82" s="2"/>
      <c r="DM82" s="2"/>
      <c r="DN82" s="2">
        <f t="shared" si="170"/>
        <v>1</v>
      </c>
      <c r="DO82" s="191" t="e">
        <f t="shared" si="171"/>
        <v>#DIV/0!</v>
      </c>
      <c r="DP82" s="191" t="e">
        <f t="shared" si="172"/>
        <v>#DIV/0!</v>
      </c>
      <c r="DQ82" s="191" t="e">
        <f t="shared" si="173"/>
        <v>#DIV/0!</v>
      </c>
      <c r="DR82" s="191" t="e">
        <f t="shared" si="174"/>
        <v>#DIV/0!</v>
      </c>
      <c r="DS82" s="191" t="e">
        <f t="shared" si="175"/>
        <v>#DIV/0!</v>
      </c>
      <c r="DT82" s="191" t="e">
        <f t="shared" si="176"/>
        <v>#DIV/0!</v>
      </c>
      <c r="DU82" s="191">
        <f t="shared" si="177"/>
        <v>0</v>
      </c>
      <c r="DV82" s="2"/>
      <c r="DW82" s="2" t="b">
        <f t="shared" si="178"/>
        <v>1</v>
      </c>
      <c r="DX82" s="2" t="b">
        <f t="shared" si="179"/>
        <v>1</v>
      </c>
      <c r="DY82" s="2" t="b">
        <f t="shared" si="180"/>
        <v>1</v>
      </c>
      <c r="DZ82" s="2" t="b">
        <f t="shared" si="181"/>
        <v>1</v>
      </c>
      <c r="EA82" s="2" t="b">
        <f t="shared" si="182"/>
        <v>1</v>
      </c>
      <c r="EB82"/>
    </row>
    <row r="83" spans="1:132" s="108" customFormat="1" ht="18.5" hidden="1" thickBot="1" x14ac:dyDescent="0.45">
      <c r="A83" s="109"/>
      <c r="B83" s="88" t="str">
        <f t="shared" si="80"/>
        <v>-</v>
      </c>
      <c r="C83" s="118">
        <v>64</v>
      </c>
      <c r="D83" s="794"/>
      <c r="E83" s="795"/>
      <c r="F83" s="566"/>
      <c r="G83" s="567"/>
      <c r="H83" s="568"/>
      <c r="I83" s="558"/>
      <c r="J83" s="559"/>
      <c r="K83" s="560"/>
      <c r="L83" s="560"/>
      <c r="M83" s="560"/>
      <c r="N83" s="561"/>
      <c r="O83" s="562"/>
      <c r="P83" s="563"/>
      <c r="Q83" s="564"/>
      <c r="R83" s="565"/>
      <c r="S83" s="112" t="str">
        <f t="shared" si="110"/>
        <v/>
      </c>
      <c r="T83" s="113" t="str">
        <f t="shared" si="111"/>
        <v/>
      </c>
      <c r="U83" s="114">
        <f t="shared" si="112"/>
        <v>0</v>
      </c>
      <c r="V83" s="117" t="str">
        <f t="shared" si="113"/>
        <v/>
      </c>
      <c r="W83" s="234" t="str">
        <f t="shared" si="114"/>
        <v/>
      </c>
      <c r="X83" s="115">
        <f t="shared" si="184"/>
        <v>0</v>
      </c>
      <c r="Y83" s="116" t="str">
        <f t="shared" si="115"/>
        <v/>
      </c>
      <c r="Z83" s="111"/>
      <c r="AA83" s="2"/>
      <c r="AB83" s="2">
        <v>64</v>
      </c>
      <c r="AC83" s="22" t="str">
        <f t="shared" si="185"/>
        <v>-</v>
      </c>
      <c r="AD83" s="22">
        <f t="shared" si="186"/>
        <v>0</v>
      </c>
      <c r="AE83" s="22">
        <f t="shared" si="82"/>
        <v>0</v>
      </c>
      <c r="AF83" s="22"/>
      <c r="AG83" s="21">
        <f t="shared" si="83"/>
        <v>0</v>
      </c>
      <c r="AH83" s="6">
        <f t="shared" si="116"/>
        <v>0</v>
      </c>
      <c r="AI83" s="7">
        <f>IF(SUM(AH83:AH$99)=0,0,F83&gt;0)</f>
        <v>0</v>
      </c>
      <c r="AJ83" s="6">
        <f t="shared" si="117"/>
        <v>0</v>
      </c>
      <c r="AK83" s="7">
        <f>IF(SUM(AH83:AH$99)=0,0,AND(AI83=FALSE,AJ83=0,SUM(AJ83:AJ$99)&gt;0))</f>
        <v>0</v>
      </c>
      <c r="AL83" s="7">
        <f t="shared" si="84"/>
        <v>0</v>
      </c>
      <c r="AM83" s="7">
        <f t="shared" si="118"/>
        <v>0</v>
      </c>
      <c r="AN83" s="9">
        <f t="shared" si="119"/>
        <v>0</v>
      </c>
      <c r="AO83" s="9">
        <f t="shared" si="120"/>
        <v>0</v>
      </c>
      <c r="AP83" s="486">
        <f t="shared" si="121"/>
        <v>0</v>
      </c>
      <c r="AQ83" s="486">
        <f t="shared" si="85"/>
        <v>0</v>
      </c>
      <c r="AR83" s="7">
        <f t="shared" si="122"/>
        <v>0</v>
      </c>
      <c r="AS83" s="7" t="str">
        <f t="shared" si="86"/>
        <v/>
      </c>
      <c r="AT83" s="7">
        <f t="shared" si="123"/>
        <v>0</v>
      </c>
      <c r="AU83" s="485">
        <f t="shared" si="87"/>
        <v>0</v>
      </c>
      <c r="AV83" s="7">
        <f t="shared" si="124"/>
        <v>0</v>
      </c>
      <c r="AW83" s="7">
        <f t="shared" si="125"/>
        <v>0</v>
      </c>
      <c r="AX83" s="7">
        <f t="shared" si="126"/>
        <v>0</v>
      </c>
      <c r="AY83" s="484">
        <f t="shared" si="88"/>
        <v>0</v>
      </c>
      <c r="AZ83" s="7">
        <f t="shared" si="127"/>
        <v>0</v>
      </c>
      <c r="BA83" s="483">
        <f t="shared" si="89"/>
        <v>0</v>
      </c>
      <c r="BB83" s="487" t="str">
        <f t="shared" si="90"/>
        <v/>
      </c>
      <c r="BC83" s="487" t="str">
        <f t="shared" si="91"/>
        <v/>
      </c>
      <c r="BD83" s="7">
        <f t="shared" si="128"/>
        <v>0</v>
      </c>
      <c r="BE83" s="7">
        <f t="shared" si="129"/>
        <v>0</v>
      </c>
      <c r="BF83" s="7">
        <f t="shared" si="130"/>
        <v>0</v>
      </c>
      <c r="BG83" s="8" t="b">
        <f t="shared" si="131"/>
        <v>0</v>
      </c>
      <c r="BH83" s="235" t="str">
        <f t="shared" si="132"/>
        <v/>
      </c>
      <c r="BI83" s="75">
        <f t="shared" si="133"/>
        <v>0</v>
      </c>
      <c r="BJ83" s="15">
        <f t="shared" si="134"/>
        <v>0</v>
      </c>
      <c r="BK83" s="15">
        <f t="shared" si="187"/>
        <v>0</v>
      </c>
      <c r="BL83" s="18">
        <f t="shared" si="135"/>
        <v>0</v>
      </c>
      <c r="BM83" s="78">
        <f t="shared" si="136"/>
        <v>0</v>
      </c>
      <c r="BN83" s="14">
        <f t="shared" si="137"/>
        <v>0</v>
      </c>
      <c r="BO83" s="14">
        <f t="shared" si="138"/>
        <v>0</v>
      </c>
      <c r="BP83" s="15">
        <f t="shared" si="188"/>
        <v>0</v>
      </c>
      <c r="BQ83" s="73">
        <f t="shared" si="139"/>
        <v>0</v>
      </c>
      <c r="BR83" s="13"/>
      <c r="BS83" s="75">
        <f t="shared" si="106"/>
        <v>0</v>
      </c>
      <c r="BT83" s="15">
        <f t="shared" si="107"/>
        <v>0</v>
      </c>
      <c r="BU83" s="15">
        <f t="shared" si="108"/>
        <v>0</v>
      </c>
      <c r="BV83" s="17">
        <f t="shared" si="109"/>
        <v>0</v>
      </c>
      <c r="BW83" s="72">
        <f t="shared" si="140"/>
        <v>0</v>
      </c>
      <c r="BX83" s="14">
        <f t="shared" si="141"/>
        <v>0</v>
      </c>
      <c r="BY83" s="15">
        <f t="shared" si="189"/>
        <v>0</v>
      </c>
      <c r="BZ83" s="14">
        <f t="shared" si="98"/>
        <v>0</v>
      </c>
      <c r="CA83" s="73">
        <f t="shared" si="142"/>
        <v>0</v>
      </c>
      <c r="CB83" s="192" t="e">
        <f t="shared" si="143"/>
        <v>#DIV/0!</v>
      </c>
      <c r="CC83" s="72" t="e">
        <f t="shared" si="144"/>
        <v>#DIV/0!</v>
      </c>
      <c r="CD83" s="14">
        <f t="shared" si="145"/>
        <v>0</v>
      </c>
      <c r="CE83" s="19">
        <f t="shared" si="183"/>
        <v>0</v>
      </c>
      <c r="CF83" s="19">
        <f t="shared" si="146"/>
        <v>0</v>
      </c>
      <c r="CG83" s="20" t="e">
        <f t="shared" si="147"/>
        <v>#DIV/0!</v>
      </c>
      <c r="CH83" s="20" t="e">
        <f t="shared" si="148"/>
        <v>#DIV/0!</v>
      </c>
      <c r="CI83" s="83" t="e">
        <f t="shared" si="190"/>
        <v>#DIV/0!</v>
      </c>
      <c r="CJ83" s="77" t="e">
        <f t="shared" si="149"/>
        <v>#DIV/0!</v>
      </c>
      <c r="CK83" s="2" t="e">
        <f t="shared" si="101"/>
        <v>#DIV/0!</v>
      </c>
      <c r="CL83" s="2" t="str">
        <f t="shared" si="150"/>
        <v/>
      </c>
      <c r="CM83" s="231" t="e">
        <f t="shared" si="102"/>
        <v>#DIV/0!</v>
      </c>
      <c r="CN83" s="233" t="e">
        <f t="shared" si="103"/>
        <v>#DIV/0!</v>
      </c>
      <c r="CO83" s="233">
        <f t="shared" si="104"/>
        <v>0</v>
      </c>
      <c r="CP83" s="2">
        <f t="shared" si="151"/>
        <v>1</v>
      </c>
      <c r="CQ83" s="2">
        <f t="shared" si="152"/>
        <v>1</v>
      </c>
      <c r="CR83" s="2" t="str">
        <f t="shared" si="153"/>
        <v/>
      </c>
      <c r="CS83" s="2">
        <f t="shared" si="154"/>
        <v>0</v>
      </c>
      <c r="CT83" s="191">
        <f t="shared" si="155"/>
        <v>0</v>
      </c>
      <c r="CU83" s="2" t="str">
        <f t="shared" si="156"/>
        <v>OK</v>
      </c>
      <c r="CV83" s="232">
        <f t="shared" si="157"/>
        <v>0.05</v>
      </c>
      <c r="CW83" s="191" t="e">
        <f t="shared" si="158"/>
        <v>#DIV/0!</v>
      </c>
      <c r="CX83" s="191" t="e">
        <f t="shared" si="159"/>
        <v>#DIV/0!</v>
      </c>
      <c r="CY83" s="191" t="e">
        <f t="shared" si="160"/>
        <v>#DIV/0!</v>
      </c>
      <c r="CZ83" s="191" t="e">
        <f t="shared" si="161"/>
        <v>#DIV/0!</v>
      </c>
      <c r="DA83" s="191">
        <f t="shared" si="162"/>
        <v>1</v>
      </c>
      <c r="DB83" s="191">
        <f t="shared" si="163"/>
        <v>0</v>
      </c>
      <c r="DC83" s="2" t="str">
        <f t="shared" si="164"/>
        <v>Soft</v>
      </c>
      <c r="DD83" s="2"/>
      <c r="DE83" s="2">
        <f t="shared" si="165"/>
        <v>0</v>
      </c>
      <c r="DF83" s="191" t="e">
        <f t="shared" si="166"/>
        <v>#DIV/0!</v>
      </c>
      <c r="DG83" s="191" t="e">
        <f t="shared" si="167"/>
        <v>#DIV/0!</v>
      </c>
      <c r="DH83" s="191" t="e">
        <f t="shared" si="168"/>
        <v>#DIV/0!</v>
      </c>
      <c r="DI83" s="191" t="e">
        <f t="shared" si="169"/>
        <v>#DIV/0!</v>
      </c>
      <c r="DJ83" s="191" t="e">
        <f t="shared" si="105"/>
        <v>#DIV/0!</v>
      </c>
      <c r="DK83" s="2"/>
      <c r="DL83" s="2"/>
      <c r="DM83" s="2"/>
      <c r="DN83" s="2">
        <f t="shared" si="170"/>
        <v>1</v>
      </c>
      <c r="DO83" s="191" t="e">
        <f t="shared" si="171"/>
        <v>#DIV/0!</v>
      </c>
      <c r="DP83" s="191" t="e">
        <f t="shared" si="172"/>
        <v>#DIV/0!</v>
      </c>
      <c r="DQ83" s="191" t="e">
        <f t="shared" si="173"/>
        <v>#DIV/0!</v>
      </c>
      <c r="DR83" s="191" t="e">
        <f t="shared" si="174"/>
        <v>#DIV/0!</v>
      </c>
      <c r="DS83" s="191" t="e">
        <f t="shared" si="175"/>
        <v>#DIV/0!</v>
      </c>
      <c r="DT83" s="191" t="e">
        <f t="shared" si="176"/>
        <v>#DIV/0!</v>
      </c>
      <c r="DU83" s="191">
        <f t="shared" si="177"/>
        <v>0</v>
      </c>
      <c r="DV83" s="2"/>
      <c r="DW83" s="2" t="b">
        <f t="shared" si="178"/>
        <v>1</v>
      </c>
      <c r="DX83" s="2" t="b">
        <f t="shared" si="179"/>
        <v>1</v>
      </c>
      <c r="DY83" s="2" t="b">
        <f t="shared" si="180"/>
        <v>1</v>
      </c>
      <c r="DZ83" s="2" t="b">
        <f t="shared" si="181"/>
        <v>1</v>
      </c>
      <c r="EA83" s="2" t="b">
        <f t="shared" si="182"/>
        <v>1</v>
      </c>
      <c r="EB83"/>
    </row>
    <row r="84" spans="1:132" s="108" customFormat="1" ht="18.5" hidden="1" thickBot="1" x14ac:dyDescent="0.45">
      <c r="A84" s="109"/>
      <c r="B84" s="88" t="str">
        <f t="shared" si="80"/>
        <v>-</v>
      </c>
      <c r="C84" s="118">
        <v>65</v>
      </c>
      <c r="D84" s="794"/>
      <c r="E84" s="795"/>
      <c r="F84" s="566"/>
      <c r="G84" s="567"/>
      <c r="H84" s="568"/>
      <c r="I84" s="558"/>
      <c r="J84" s="559"/>
      <c r="K84" s="560"/>
      <c r="L84" s="560"/>
      <c r="M84" s="560"/>
      <c r="N84" s="561"/>
      <c r="O84" s="562"/>
      <c r="P84" s="563"/>
      <c r="Q84" s="564"/>
      <c r="R84" s="565"/>
      <c r="S84" s="112" t="str">
        <f t="shared" ref="S84:S99" si="191">IF(AND(AY84=TRUE,AZ84=TRUE,InputIssues=0),IF(Q84="device",2,IF(BD84=FALSE,1,0.5)*Q84/R84),"")</f>
        <v/>
      </c>
      <c r="T84" s="113" t="str">
        <f t="shared" ref="T84:T99" si="192">IF(AND(AY84=TRUE,InputIssues=0),IF(T$19=F$165,BQ84,IF(T$19=G$165,BZ84,BZ84/BQ84)),"")</f>
        <v/>
      </c>
      <c r="U84" s="114">
        <f t="shared" ref="U84:U99" si="193">IF(InputIssues=0,MAX(G84*H84,I84),0)</f>
        <v>0</v>
      </c>
      <c r="V84" s="117" t="str">
        <f t="shared" ref="V84:V99" si="194">IF(AllInputsOK=FALSE,"",CL84)</f>
        <v/>
      </c>
      <c r="W84" s="234" t="str">
        <f t="shared" ref="W84:W99" si="195">IF(AllInputsOK=FALSE,"",CK84)</f>
        <v/>
      </c>
      <c r="X84" s="115">
        <f t="shared" si="184"/>
        <v>0</v>
      </c>
      <c r="Y84" s="116" t="str">
        <f t="shared" ref="Y84:Y99" si="196">IF(AllInputsOK=FALSE,"",CJ84)</f>
        <v/>
      </c>
      <c r="Z84" s="111"/>
      <c r="AA84" s="2"/>
      <c r="AB84" s="2">
        <v>65</v>
      </c>
      <c r="AC84" s="22" t="str">
        <f t="shared" si="185"/>
        <v>-</v>
      </c>
      <c r="AD84" s="22">
        <f t="shared" si="186"/>
        <v>0</v>
      </c>
      <c r="AE84" s="22">
        <f t="shared" si="82"/>
        <v>0</v>
      </c>
      <c r="AF84" s="22"/>
      <c r="AG84" s="21">
        <f t="shared" si="83"/>
        <v>0</v>
      </c>
      <c r="AH84" s="6">
        <f t="shared" ref="AH84:AH99" si="197">COUNTA(D84:R84)</f>
        <v>0</v>
      </c>
      <c r="AI84" s="7">
        <f>IF(SUM(AH84:AH$99)=0,0,F84&gt;0)</f>
        <v>0</v>
      </c>
      <c r="AJ84" s="6">
        <f t="shared" ref="AJ84:AJ99" si="198">COUNTA(G84:R84)</f>
        <v>0</v>
      </c>
      <c r="AK84" s="7">
        <f>IF(SUM(AH84:AH$99)=0,0,AND(AI84=FALSE,AJ84=0,SUM(AJ84:AJ$99)&gt;0))</f>
        <v>0</v>
      </c>
      <c r="AL84" s="7">
        <f t="shared" si="84"/>
        <v>0</v>
      </c>
      <c r="AM84" s="7">
        <f t="shared" ref="AM84:AM99" si="199">IF(AH84=0,0,AND(AN84&lt;&gt;TRUE,COUNTIF(AR84:AX84,TRUE)=0,G84=0,Q84&lt;&gt;"device",R84&gt;0))</f>
        <v>0</v>
      </c>
      <c r="AN84" s="9">
        <f t="shared" ref="AN84:AN99" si="200">IF(AH84=0,0,AND(AI84=TRUE,G84*H84=0,I84=0))</f>
        <v>0</v>
      </c>
      <c r="AO84" s="9">
        <f t="shared" ref="AO84:AO99" si="201">IF(H84=0,0,G84*H84&lt;I84)</f>
        <v>0</v>
      </c>
      <c r="AP84" s="486">
        <f t="shared" ref="AP84:AP99" si="202">IF(AH84=0,0,AND(AI84=TRUE,OR(AND(K84="Ground: direct",AreaA=0),AND(K84="Ground: suspended",AreaB=0),AND(K84="upper",$F$12=0))))</f>
        <v>0</v>
      </c>
      <c r="AQ84" s="486">
        <f t="shared" si="85"/>
        <v>0</v>
      </c>
      <c r="AR84" s="7">
        <f t="shared" ref="AR84:AR99" si="203">IF(AH84=0,0,AND(AI84=TRUE,AN84=FALSE,ISBLANK(O84)))</f>
        <v>0</v>
      </c>
      <c r="AS84" s="7" t="str">
        <f t="shared" si="86"/>
        <v/>
      </c>
      <c r="AT84" s="7">
        <f t="shared" ref="AT84:AT99" si="204">IF(AH84=0,0,AND(AI84=TRUE,AN84=FALSE,ISBLANK(P84)))</f>
        <v>0</v>
      </c>
      <c r="AU84" s="485">
        <f t="shared" si="87"/>
        <v>0</v>
      </c>
      <c r="AV84" s="7">
        <f t="shared" ref="AV84:AV99" si="205">IF(AH84=0,0,AND(AR84=FALSE,AT84=FALSE,OR(Q84&lt;0,AND(ISTEXT(Q84),Q84&lt;&gt;"device"))))</f>
        <v>0</v>
      </c>
      <c r="AW84" s="7">
        <f t="shared" ref="AW84:AW99" si="206">IF(AH84=0,0,AND(AI84=TRUE,AN84=FALSE,AR84=FALSE,AT84=FALSE,AV84=FALSE,Q84&gt;0,Q84&lt;&gt;"device",R84=0))</f>
        <v>0</v>
      </c>
      <c r="AX84" s="7">
        <f t="shared" ref="AX84:AX99" si="207">IF(AH84=0,0,AND(AI84=TRUE,AN84=FALSE,AR84=FALSE,AT84=FALSE,R84&gt;0,OR(Q84=0,Q84="device")))</f>
        <v>0</v>
      </c>
      <c r="AY84" s="484">
        <f t="shared" si="88"/>
        <v>0</v>
      </c>
      <c r="AZ84" s="7">
        <f t="shared" ref="AZ84:AZ99" si="208">IF(AH84=0,0,AND(Q84&gt;0,AY84=TRUE))</f>
        <v>0</v>
      </c>
      <c r="BA84" s="483">
        <f t="shared" si="89"/>
        <v>0</v>
      </c>
      <c r="BB84" s="487" t="str">
        <f t="shared" si="90"/>
        <v/>
      </c>
      <c r="BC84" s="487" t="str">
        <f t="shared" si="91"/>
        <v/>
      </c>
      <c r="BD84" s="7">
        <f t="shared" ref="BD84:BD99" si="209">IF(AH84=0,0,AND(G84&gt;0,R84-G84&gt;0.5))</f>
        <v>0</v>
      </c>
      <c r="BE84" s="7">
        <f t="shared" ref="BE84:BE99" si="210">IF(AH84=0,0,AND(ISNUMBER(S84),S84&gt;2))</f>
        <v>0</v>
      </c>
      <c r="BF84" s="7">
        <f t="shared" ref="BF84:BF99" si="211">IF(AH84=0,0,AND(AI84=TRUE,COUNT(G84:I84)=3,G84*H84&lt;&gt;I84))</f>
        <v>0</v>
      </c>
      <c r="BG84" s="8" t="b">
        <f t="shared" ref="BG84:BG99" si="212">AND(UpperInputsAlerts=0,DudTableInputs=0,COUNTIF(CG84:CH84,TRUE)&lt;&gt;0)</f>
        <v>0</v>
      </c>
      <c r="BH84" s="235" t="str">
        <f t="shared" ref="BH84:BH99" si="213">IFERROR((R84-G84)/Q84,"")</f>
        <v/>
      </c>
      <c r="BI84" s="75">
        <f t="shared" ref="BI84:BI99" si="214">IF(S84="",0,INDEX(Projections,MATCH(S84,Projections,1),1))</f>
        <v>0</v>
      </c>
      <c r="BJ84" s="15">
        <f t="shared" ref="BJ84:BJ99" si="215">IF(S84="",0,IF(BI84=2,2,INDEX(Projections,MATCH(S84,Projections,1)+1,1)))</f>
        <v>0</v>
      </c>
      <c r="BK84" s="15">
        <f t="shared" si="187"/>
        <v>0</v>
      </c>
      <c r="BL84" s="18">
        <f t="shared" ref="BL84:BL99" si="216">IF(OR(S84="",BK84=0),0,(S84-BI84)/BK84)</f>
        <v>0</v>
      </c>
      <c r="BM84" s="78">
        <f t="shared" ref="BM84:BM99" si="217">IF(OR(AH84=0,AY84&lt;&gt;TRUE),0,F84)</f>
        <v>0</v>
      </c>
      <c r="BN84" s="14">
        <f t="shared" ref="BN84:BN99" si="218">IF(AND($AY84=TRUE,Zone=0),10,IF(OR($BM84=0,$BM84=FALSE),0,IF(Slab_or_Timb="Slab",INDEX(ExposuresSummer,MATCH($BI84,Projections,1),MATCH($BM84,Directions,0),Zone_Col),INDEX(ExposuresSummerTimber,MATCH($BI84,Projections,1),MATCH($BM84,Directions,0),Zone_Col))))</f>
        <v>0</v>
      </c>
      <c r="BO84" s="14">
        <f t="shared" ref="BO84:BO99" si="219">IF(AND($AY84=TRUE,Zone=0),10,IF(OR($BM84=0,$BM84=FALSE),0,IF(Slab_or_Timb="Slab",INDEX(ExposuresSummer,MATCH($BJ84,Projections,1),MATCH($BM84,Directions,0),Zone_Col),INDEX(ExposuresSummerTimber,MATCH($BJ84,Projections,1),MATCH($BM84,Directions,0),Zone_Col))))</f>
        <v>0</v>
      </c>
      <c r="BP84" s="15">
        <f t="shared" si="188"/>
        <v>0</v>
      </c>
      <c r="BQ84" s="73">
        <f t="shared" ref="BQ84:BQ99" si="220">(BN84-BP84*$BL84)*DB84</f>
        <v>0</v>
      </c>
      <c r="BR84" s="13"/>
      <c r="BS84" s="75">
        <f t="shared" si="106"/>
        <v>0</v>
      </c>
      <c r="BT84" s="15">
        <f t="shared" si="107"/>
        <v>0</v>
      </c>
      <c r="BU84" s="15">
        <f t="shared" si="108"/>
        <v>0</v>
      </c>
      <c r="BV84" s="17">
        <f t="shared" si="109"/>
        <v>0</v>
      </c>
      <c r="BW84" s="72">
        <f t="shared" ref="BW84:BW99" si="221">IF(AND($AY84=TRUE,Zone=0),10,IF(OR($BM84=0,$BM84=FALSE),0,IF(Slab_or_Timb="Slab",INDEX(ExposuresWinter,MATCH($BS84,Projections,1),MATCH($BM84,Directions,0),Zone_Col),INDEX(ExposuresWinterTimber,MATCH($BS84,Projections,1),MATCH($BM84,Directions,0),Zone_Col))))</f>
        <v>0</v>
      </c>
      <c r="BX84" s="14">
        <f t="shared" ref="BX84:BX99" si="222">IF(AND($AY84=TRUE,Zone=0),10,IF(OR($BM84=0,$BM84=FALSE),0,IF(Slab_or_Timb="Slab",INDEX(ExposuresWinter,MATCH($BT84,Projections,1),MATCH($BM84,Directions,0),Zone_Col),INDEX(ExposuresWinterTimber,MATCH($BT84,Projections,1),MATCH($BM84,Directions,0),Zone_Col))))</f>
        <v>0</v>
      </c>
      <c r="BY84" s="15">
        <f t="shared" si="189"/>
        <v>0</v>
      </c>
      <c r="BZ84" s="14">
        <f t="shared" si="98"/>
        <v>0</v>
      </c>
      <c r="CA84" s="73">
        <f t="shared" ref="CA84:CA99" si="223">IF(P84&gt;0.7,U84*0.7*BZ84,U84*P84*BZ84)</f>
        <v>0</v>
      </c>
      <c r="CB84" s="192" t="e">
        <f t="shared" ref="CB84:CB99" si="224">IF(Zone=1,"N/A",CA84/SUM(CA$20:CA$99))</f>
        <v>#DIV/0!</v>
      </c>
      <c r="CC84" s="72" t="e">
        <f t="shared" ref="CC84:CC99" si="225">(IF(AY84=TRUE,IF(U84="",0,U84)*O84,0))*DJ84</f>
        <v>#DIV/0!</v>
      </c>
      <c r="CD84" s="14">
        <f t="shared" ref="CD84:CD99" si="226">IF(P84&gt;0.7,0.7*IF(U84="",0,U84)*BQ84,P84*IF(U84="",0,U84)*BQ84)</f>
        <v>0</v>
      </c>
      <c r="CE84" s="19">
        <f t="shared" si="183"/>
        <v>0</v>
      </c>
      <c r="CF84" s="19">
        <f t="shared" ref="CF84:CF99" si="227">IF(AY84&lt;&gt;TRUE,0,CD84/CD$4)</f>
        <v>0</v>
      </c>
      <c r="CG84" s="20" t="e">
        <f t="shared" ref="CG84:CG99" si="228">IF(SUM(CC84:CD84)=0,0,AND(AI84=TRUE,CC$6&lt;0))</f>
        <v>#DIV/0!</v>
      </c>
      <c r="CH84" s="20" t="e">
        <f t="shared" ref="CH84:CH99" si="229">IF(Zone=8,"FALSE",IF(SUM(CC84:CD84)=0,0,AND(AI84=TRUE,CD$6&lt;0)))</f>
        <v>#DIV/0!</v>
      </c>
      <c r="CI84" s="83" t="e">
        <f t="shared" si="190"/>
        <v>#DIV/0!</v>
      </c>
      <c r="CJ84" s="77" t="e">
        <f t="shared" ref="CJ84:CJ99" si="230">IF(SUM(CC84:CD84)=0,"",IF(Zone=8,"not required",TEXT(CF84,IF(CF84&lt;0.005,"0.0%","0%"))&amp;" of "&amp;TEXT(CD$8,"0%")))</f>
        <v>#DIV/0!</v>
      </c>
      <c r="CK84" s="2" t="e">
        <f t="shared" si="101"/>
        <v>#DIV/0!</v>
      </c>
      <c r="CL84" s="2" t="str">
        <f t="shared" ref="CL84:CL99" si="231">IF(Zone=1,"N/A",IF(CE84&gt;0,TEXT(CE84,IF(CE84&lt;0.005,"0.0%","0%")),""))</f>
        <v/>
      </c>
      <c r="CM84" s="231" t="e">
        <f t="shared" si="102"/>
        <v>#DIV/0!</v>
      </c>
      <c r="CN84" s="233" t="e">
        <f t="shared" si="103"/>
        <v>#DIV/0!</v>
      </c>
      <c r="CO84" s="233">
        <f t="shared" si="104"/>
        <v>0</v>
      </c>
      <c r="CP84" s="2">
        <f t="shared" ref="CP84:CP99" si="232">IF(G84&lt;1.5,1,2)</f>
        <v>1</v>
      </c>
      <c r="CQ84" s="2">
        <f t="shared" ref="CQ84:CQ99" si="233">IF(H84&lt;=1.2,1,IF(H84&lt;2.7,2,IF(H84&gt;=2.7,3,"input")))</f>
        <v>1</v>
      </c>
      <c r="CR84" s="2" t="str">
        <f t="shared" ref="CR84:CR99" si="234">IFERROR(IF(G84&lt;=1.5,VLOOKUP(N84,Win_Open_less_1.5,CQ84+2,1),VLOOKUP(N84,Win_Open_more_1.5,CQ84+2,1)),"")</f>
        <v/>
      </c>
      <c r="CS84" s="2">
        <f t="shared" ref="CS84:CS98" si="235">IF(CR84=0,0,IF(CR84="",N84,CR84))</f>
        <v>0</v>
      </c>
      <c r="CT84" s="191">
        <f t="shared" ref="CT84:CT99" si="236">CS84*U84</f>
        <v>0</v>
      </c>
      <c r="CU84" s="2" t="str">
        <f t="shared" ref="CU84:CU99" si="237">IF(CT84&gt;0.9*U84,"error","OK")</f>
        <v>OK</v>
      </c>
      <c r="CV84" s="232">
        <f t="shared" ref="CV84:CV99" si="238">IF(N84="",0.05,IF($CU$17&lt;=0.05,0.05,IFERROR(CT84/U84,"")))</f>
        <v>0.05</v>
      </c>
      <c r="CW84" s="191" t="e">
        <f t="shared" ref="CW84:CW99" si="239">IF(Slab_or_Timb="Slab",IF(J84&lt;&gt;"Other",HLOOKUP($CV$13,S_Slab_Fact,2),1),IF(J84&lt;&gt;"Other",HLOOKUP($CV$13,S_Timb_Fact,2),1))</f>
        <v>#DIV/0!</v>
      </c>
      <c r="CX84" s="191" t="e">
        <f t="shared" ref="CX84:CX99" si="240">IF(Slab_or_Timb="Slab",IF($M84="Dark",HLOOKUP($CV$13,S_Slab_Fact,4),1),IF($M84="Dark",HLOOKUP($CV$13,S_Timb_Fact,4),1))</f>
        <v>#DIV/0!</v>
      </c>
      <c r="CY84" s="191" t="e">
        <f t="shared" ref="CY84:CY99" si="241">IF(Slab_or_Timb="Slab",IF($M84="Medium",HLOOKUP($CV$13,S_Slab_Fact,5),1),IF($M84="Medium",HLOOKUP($CV$13,S_Timb_Fact,5),1))</f>
        <v>#DIV/0!</v>
      </c>
      <c r="CZ84" s="191" t="e">
        <f t="shared" ref="CZ84:CZ99" si="242">IF(Slab_or_Timb="Slab",IF($M84="Light",HLOOKUP($CV$13,S_Slab_Fact,6),1),IF($M84="Light",HLOOKUP($CV$13,S_Timb_Fact,6),1))</f>
        <v>#DIV/0!</v>
      </c>
      <c r="DA84" s="191">
        <f t="shared" ref="DA84:DA99" si="243">IFERROR(IF(Slab_or_Timb="Slab",IF($DC84="Hard",HLOOKUP($CV$13,S_Slab_Fact,7),1),1),1)</f>
        <v>1</v>
      </c>
      <c r="DB84" s="191">
        <f t="shared" ref="DB84:DB99" si="244">IF(U84=0,0,CW84*CX84*CY84*CZ84*DA84)</f>
        <v>0</v>
      </c>
      <c r="DC84" s="2" t="str">
        <f t="shared" ref="DC84:DC99" si="245">IF(AND(K84="Ground: Direct",J84&lt;&gt;"Utility"),VLOOKUP(L84,Hard_Floor,2),"Soft")</f>
        <v>Soft</v>
      </c>
      <c r="DD84" s="2"/>
      <c r="DE84" s="2">
        <f t="shared" ref="DE84:DE99" si="246">IFERROR(VLOOKUP(F84,Orient_Num,2),0)</f>
        <v>0</v>
      </c>
      <c r="DF84" s="191" t="e">
        <f t="shared" ref="DF84:DF99" si="247">IF(Slab_or_Timb="Slab",IFERROR(HLOOKUP(DE84,OC_Fact_Slab,Zone_Col+1),0),IFERROR(HLOOKUP(DE84,OC_Fact_Timb,Zone_Col+1),0))</f>
        <v>#DIV/0!</v>
      </c>
      <c r="DG84" s="191" t="e">
        <f t="shared" ref="DG84:DG99" si="248">IF(Slab_or_Timb="Slab",IF(J84&lt;&gt;"Other",HLOOKUP($CV$13,W_Slab_Fact,4),1),IF(J84&lt;&gt;"Other",HLOOKUP($CV$13,W_Timb_Fact,4),1))</f>
        <v>#DIV/0!</v>
      </c>
      <c r="DH84" s="191" t="e">
        <f t="shared" ref="DH84:DH99" si="249">IF(Slab_or_Timb="Slab",IF(J84&lt;&gt;"Other",HLOOKUP($CV$13,W_Slab_Fact,2),1),IF(J84&lt;&gt;"Other",HLOOKUP($CV$13,W_Timb_Fact,2),1))</f>
        <v>#DIV/0!</v>
      </c>
      <c r="DI84" s="191" t="e">
        <f t="shared" ref="DI84:DI99" si="250">IF(Slab_or_Timb="Slab",IF(K84="Upper",HLOOKUP($CV$13,W_Slab_Fact,3),1),IF(K84="Upper",HLOOKUP($CV$13,W_Timb_Fact,3),1))</f>
        <v>#DIV/0!</v>
      </c>
      <c r="DJ84" s="191" t="e">
        <f t="shared" si="105"/>
        <v>#DIV/0!</v>
      </c>
      <c r="DK84" s="2"/>
      <c r="DL84" s="2"/>
      <c r="DM84" s="2"/>
      <c r="DN84" s="2">
        <f t="shared" ref="DN84:DN99" si="251">IFERROR(IF(Slab_or_Timb="Slab",IF($DC84="Hard",HLOOKUP($CV$13,W_Slab_Fact,9),1),1),1)</f>
        <v>1</v>
      </c>
      <c r="DO84" s="191" t="e">
        <f t="shared" ref="DO84:DO99" si="252">IF(Slab_or_Timb="Slab",IF($M84="Dark",HLOOKUP($CV$13,W_Slab_Fact,6),1),IF($M84="Dark",HLOOKUP($CV$13,W_Timb_Fact,6),1))</f>
        <v>#DIV/0!</v>
      </c>
      <c r="DP84" s="191" t="e">
        <f t="shared" ref="DP84:DP99" si="253">IF(Slab_or_Timb="Slab",IF($M84="Medium",HLOOKUP($CV$13,W_Slab_Fact,7),1),IF($M84="Medium",HLOOKUP($CV$13,W_Timb_Fact,7),1))</f>
        <v>#DIV/0!</v>
      </c>
      <c r="DQ84" s="191" t="e">
        <f t="shared" ref="DQ84:DQ99" si="254">IF(Slab_or_Timb="Slab",IF($M84="Light",HLOOKUP($CV$13,W_Slab_Fact,8),1),IF($M84="Light",HLOOKUP($CV$13,W_Timb_Fact,8),1))</f>
        <v>#DIV/0!</v>
      </c>
      <c r="DR84" s="191" t="e">
        <f t="shared" ref="DR84:DR99" si="255">IF(Slab_or_Timb="Slab",IF(J84&lt;&gt;"Other",HLOOKUP($CV$13,W_Slab_Fact,5),1),IF(J84&lt;&gt;"Other",HLOOKUP($CV$13,W_Timb_Fact,5),1))</f>
        <v>#DIV/0!</v>
      </c>
      <c r="DS84" s="191" t="e">
        <f t="shared" ref="DS84:DS99" si="256">IF(Slab_or_Timb="Slab",IF(J84&lt;&gt;"Other",HLOOKUP($CV$13,W_Slab_Fact,2),1),IF(J84&lt;&gt;"Other",HLOOKUP($CV$13,W_Timb_Fact,2),1))</f>
        <v>#DIV/0!</v>
      </c>
      <c r="DT84" s="191" t="e">
        <f t="shared" ref="DT84:DT99" si="257">IF(Slab_or_Timb="Slab",IF(K84="Upper",HLOOKUP($CV$13,W_Slab_Fact,3),1),IF(K84="Upper",HLOOKUP($CV$13,W_Timb_Fact,3),1))</f>
        <v>#DIV/0!</v>
      </c>
      <c r="DU84" s="191">
        <f t="shared" ref="DU84:DU99" si="258">IF(U84=0,0,DN84*DO84*DP84*DQ84*DR84*DS84*DT84)</f>
        <v>0</v>
      </c>
      <c r="DV84" s="2"/>
      <c r="DW84" s="2" t="b">
        <f t="shared" ref="DW84:DW99" si="259">ISBLANK(J84)</f>
        <v>1</v>
      </c>
      <c r="DX84" s="2" t="b">
        <f t="shared" ref="DX84:DX99" si="260">ISBLANK(K84)</f>
        <v>1</v>
      </c>
      <c r="DY84" s="2" t="b">
        <f t="shared" ref="DY84:DY99" si="261">ISBLANK(L84)</f>
        <v>1</v>
      </c>
      <c r="DZ84" s="2" t="b">
        <f t="shared" ref="DZ84:DZ99" si="262">ISBLANK(M84)</f>
        <v>1</v>
      </c>
      <c r="EA84" s="2" t="b">
        <f t="shared" ref="EA84:EA99" si="263">ISBLANK(N84)</f>
        <v>1</v>
      </c>
      <c r="EB84"/>
    </row>
    <row r="85" spans="1:132" s="108" customFormat="1" ht="18.5" hidden="1" thickBot="1" x14ac:dyDescent="0.45">
      <c r="A85" s="109"/>
      <c r="B85" s="88" t="str">
        <f t="shared" si="80"/>
        <v>-</v>
      </c>
      <c r="C85" s="118">
        <v>66</v>
      </c>
      <c r="D85" s="794"/>
      <c r="E85" s="795"/>
      <c r="F85" s="566"/>
      <c r="G85" s="567"/>
      <c r="H85" s="568"/>
      <c r="I85" s="558"/>
      <c r="J85" s="559"/>
      <c r="K85" s="560"/>
      <c r="L85" s="560"/>
      <c r="M85" s="560"/>
      <c r="N85" s="561"/>
      <c r="O85" s="562"/>
      <c r="P85" s="563"/>
      <c r="Q85" s="564"/>
      <c r="R85" s="565"/>
      <c r="S85" s="112" t="str">
        <f t="shared" si="191"/>
        <v/>
      </c>
      <c r="T85" s="113" t="str">
        <f t="shared" si="192"/>
        <v/>
      </c>
      <c r="U85" s="114">
        <f t="shared" si="193"/>
        <v>0</v>
      </c>
      <c r="V85" s="117" t="str">
        <f t="shared" si="194"/>
        <v/>
      </c>
      <c r="W85" s="234" t="str">
        <f t="shared" si="195"/>
        <v/>
      </c>
      <c r="X85" s="115">
        <f t="shared" si="184"/>
        <v>0</v>
      </c>
      <c r="Y85" s="116" t="str">
        <f t="shared" si="196"/>
        <v/>
      </c>
      <c r="Z85" s="111"/>
      <c r="AA85" s="2"/>
      <c r="AB85" s="2">
        <v>66</v>
      </c>
      <c r="AC85" s="22" t="str">
        <f t="shared" si="185"/>
        <v>-</v>
      </c>
      <c r="AD85" s="22">
        <f t="shared" si="186"/>
        <v>0</v>
      </c>
      <c r="AE85" s="22">
        <f t="shared" ref="AE85:AE99" si="264">COUNTA(J85:N85)</f>
        <v>0</v>
      </c>
      <c r="AF85" s="22"/>
      <c r="AG85" s="21">
        <f t="shared" ref="AG85:AG99" si="265">IF(U85&gt;0,(IF(COUNTA(J85:N85)=5,0,1)),0)</f>
        <v>0</v>
      </c>
      <c r="AH85" s="6">
        <f t="shared" si="197"/>
        <v>0</v>
      </c>
      <c r="AI85" s="7">
        <f>IF(SUM(AH85:AH$99)=0,0,F85&gt;0)</f>
        <v>0</v>
      </c>
      <c r="AJ85" s="6">
        <f t="shared" si="198"/>
        <v>0</v>
      </c>
      <c r="AK85" s="7">
        <f>IF(SUM(AH85:AH$99)=0,0,AND(AI85=FALSE,AJ85=0,SUM(AJ85:AJ$99)&gt;0))</f>
        <v>0</v>
      </c>
      <c r="AL85" s="7">
        <f t="shared" ref="AL85:AL99" si="266">IF(AH85=0,0,AND(AI85=FALSE,AJ85&gt;0))</f>
        <v>0</v>
      </c>
      <c r="AM85" s="7">
        <f t="shared" si="199"/>
        <v>0</v>
      </c>
      <c r="AN85" s="9">
        <f t="shared" si="200"/>
        <v>0</v>
      </c>
      <c r="AO85" s="9">
        <f t="shared" si="201"/>
        <v>0</v>
      </c>
      <c r="AP85" s="486">
        <f t="shared" si="202"/>
        <v>0</v>
      </c>
      <c r="AQ85" s="486">
        <f t="shared" ref="AQ85:AQ99" si="267">IF(AH85=0,0,AND(AI85=TRUE,OR(J85="",K85="",L85="",M85="",N85="")))</f>
        <v>0</v>
      </c>
      <c r="AR85" s="7">
        <f t="shared" si="203"/>
        <v>0</v>
      </c>
      <c r="AS85" s="7" t="str">
        <f t="shared" ref="AS85:AS99" si="268">IF(AND(AR85=TRUE,AT85=TRUE),AS$19,"")</f>
        <v/>
      </c>
      <c r="AT85" s="7">
        <f t="shared" si="204"/>
        <v>0</v>
      </c>
      <c r="AU85" s="485">
        <f t="shared" ref="AU85:AU99" si="269">IF(AT85=FALSE,P85&gt;0.7,)</f>
        <v>0</v>
      </c>
      <c r="AV85" s="7">
        <f t="shared" si="205"/>
        <v>0</v>
      </c>
      <c r="AW85" s="7">
        <f t="shared" si="206"/>
        <v>0</v>
      </c>
      <c r="AX85" s="7">
        <f t="shared" si="207"/>
        <v>0</v>
      </c>
      <c r="AY85" s="484">
        <f t="shared" ref="AY85:AY99" si="270">IF(AND(AH85=0,AK85&lt;&gt;TRUE),0,AND(AI85=TRUE,COUNTIF(AK85:AN85,TRUE)=0,COUNTIF(AP85:AX85,TRUE)=0))</f>
        <v>0</v>
      </c>
      <c r="AZ85" s="7">
        <f t="shared" si="208"/>
        <v>0</v>
      </c>
      <c r="BA85" s="483">
        <f t="shared" ref="BA85:BA99" si="271">IF(AND(AH85=0,AK85&lt;&gt;TRUE),0,COUNTIF(AL85:AN85,TRUE)+COUNTIF(AP85:AX85,TRUE))</f>
        <v>0</v>
      </c>
      <c r="BB85" s="487" t="str">
        <f t="shared" ref="BB85:BB99" si="272">IF(BA85&gt;0,"Input "&amp;IF(AI85=TRUE,"alert","issue")&amp;IF(BA85=1,": ","s: "),"")&amp;BC85</f>
        <v/>
      </c>
      <c r="BC85" s="487" t="str">
        <f t="shared" ref="BC85:BC99" si="273">IF(AK85=TRUE,AK$19,"")&amp;IF(AL85=TRUE,AL$19&amp;" (but "&amp;AJ85&amp;" input"&amp;IF(AJ85=1,") ","s) "),"")&amp;IF(AM85=TRUE,AM$19&amp;" ","")&amp;IF(AN85=TRUE,AN$19&amp;" ","")&amp;IF(AP85=TRUE,AP$19&amp;" ","")&amp;IF(AR85=TRUE,AR$19&amp;", ","")&amp;AS85&amp;IF(AT85=TRUE,AT$19&amp;", ","")&amp;IF(AQ85=TRUE,AQ$19,"")&amp;IF(OR(AM85=TRUE,AN85=TRUE,AQ85=TRUE,AR85=TRUE,AT85=TRUE)," needed","")&amp;IF(AV85=TRUE,AV$19&amp;" ","")&amp;IF(AU85=TRUE,AU$19&amp;" ","")&amp;IF(AW85=TRUE,AW$19&amp;" ","")&amp;IF(AX85=TRUE,IF(Q85="device","shading H not needed if device used",AX$19),"")</f>
        <v/>
      </c>
      <c r="BD85" s="7">
        <f t="shared" si="209"/>
        <v>0</v>
      </c>
      <c r="BE85" s="7">
        <f t="shared" si="210"/>
        <v>0</v>
      </c>
      <c r="BF85" s="7">
        <f t="shared" si="211"/>
        <v>0</v>
      </c>
      <c r="BG85" s="8" t="b">
        <f t="shared" si="212"/>
        <v>0</v>
      </c>
      <c r="BH85" s="235" t="str">
        <f t="shared" si="213"/>
        <v/>
      </c>
      <c r="BI85" s="75">
        <f t="shared" si="214"/>
        <v>0</v>
      </c>
      <c r="BJ85" s="15">
        <f t="shared" si="215"/>
        <v>0</v>
      </c>
      <c r="BK85" s="15">
        <f t="shared" si="187"/>
        <v>0</v>
      </c>
      <c r="BL85" s="18">
        <f t="shared" si="216"/>
        <v>0</v>
      </c>
      <c r="BM85" s="78">
        <f t="shared" si="217"/>
        <v>0</v>
      </c>
      <c r="BN85" s="14">
        <f t="shared" si="218"/>
        <v>0</v>
      </c>
      <c r="BO85" s="14">
        <f t="shared" si="219"/>
        <v>0</v>
      </c>
      <c r="BP85" s="15">
        <f t="shared" si="188"/>
        <v>0</v>
      </c>
      <c r="BQ85" s="73">
        <f t="shared" si="220"/>
        <v>0</v>
      </c>
      <c r="BR85" s="13"/>
      <c r="BS85" s="75">
        <f t="shared" si="106"/>
        <v>0</v>
      </c>
      <c r="BT85" s="15">
        <f t="shared" si="107"/>
        <v>0</v>
      </c>
      <c r="BU85" s="15">
        <f t="shared" si="108"/>
        <v>0</v>
      </c>
      <c r="BV85" s="17">
        <f t="shared" si="109"/>
        <v>0</v>
      </c>
      <c r="BW85" s="72">
        <f t="shared" si="221"/>
        <v>0</v>
      </c>
      <c r="BX85" s="14">
        <f t="shared" si="222"/>
        <v>0</v>
      </c>
      <c r="BY85" s="15">
        <f t="shared" si="189"/>
        <v>0</v>
      </c>
      <c r="BZ85" s="14">
        <f t="shared" ref="BZ85:BZ99" si="274">(BW85-BY85*$BV85)*DU85</f>
        <v>0</v>
      </c>
      <c r="CA85" s="73">
        <f t="shared" si="223"/>
        <v>0</v>
      </c>
      <c r="CB85" s="192" t="e">
        <f t="shared" si="224"/>
        <v>#DIV/0!</v>
      </c>
      <c r="CC85" s="72" t="e">
        <f t="shared" si="225"/>
        <v>#DIV/0!</v>
      </c>
      <c r="CD85" s="14">
        <f t="shared" si="226"/>
        <v>0</v>
      </c>
      <c r="CE85" s="19">
        <f t="shared" ref="CE85:CE99" si="275">IF(AY85&lt;&gt;TRUE,0,CC85/CC$17)</f>
        <v>0</v>
      </c>
      <c r="CF85" s="19">
        <f t="shared" si="227"/>
        <v>0</v>
      </c>
      <c r="CG85" s="20" t="e">
        <f t="shared" si="228"/>
        <v>#DIV/0!</v>
      </c>
      <c r="CH85" s="20" t="e">
        <f t="shared" si="229"/>
        <v>#DIV/0!</v>
      </c>
      <c r="CI85" s="83" t="e">
        <f t="shared" si="190"/>
        <v>#DIV/0!</v>
      </c>
      <c r="CJ85" s="77" t="e">
        <f t="shared" si="230"/>
        <v>#DIV/0!</v>
      </c>
      <c r="CK85" s="2" t="e">
        <f t="shared" ref="CK85:CK99" si="276">IF(CB85&gt;0,TEXT(CB85,IF(CB85&lt;0.005,"0.0%","0%")),"")</f>
        <v>#DIV/0!</v>
      </c>
      <c r="CL85" s="2" t="str">
        <f t="shared" si="231"/>
        <v/>
      </c>
      <c r="CM85" s="231" t="e">
        <f t="shared" ref="CM85:CM99" si="277">(SUM(CC$20:CC$99)-CC85)/(SUM(CA$20:CA$99)-CA85)</f>
        <v>#DIV/0!</v>
      </c>
      <c r="CN85" s="233" t="e">
        <f t="shared" ref="CN85:CN99" si="278">$CD$17-CM85</f>
        <v>#DIV/0!</v>
      </c>
      <c r="CO85" s="233">
        <f t="shared" ref="CO85:CO99" si="279">IFERROR(CC85/CA85,0)</f>
        <v>0</v>
      </c>
      <c r="CP85" s="2">
        <f t="shared" si="232"/>
        <v>1</v>
      </c>
      <c r="CQ85" s="2">
        <f t="shared" si="233"/>
        <v>1</v>
      </c>
      <c r="CR85" s="2" t="str">
        <f t="shared" si="234"/>
        <v/>
      </c>
      <c r="CS85" s="2">
        <f t="shared" si="235"/>
        <v>0</v>
      </c>
      <c r="CT85" s="191">
        <f t="shared" si="236"/>
        <v>0</v>
      </c>
      <c r="CU85" s="2" t="str">
        <f t="shared" si="237"/>
        <v>OK</v>
      </c>
      <c r="CV85" s="232">
        <f t="shared" si="238"/>
        <v>0.05</v>
      </c>
      <c r="CW85" s="191" t="e">
        <f t="shared" si="239"/>
        <v>#DIV/0!</v>
      </c>
      <c r="CX85" s="191" t="e">
        <f t="shared" si="240"/>
        <v>#DIV/0!</v>
      </c>
      <c r="CY85" s="191" t="e">
        <f t="shared" si="241"/>
        <v>#DIV/0!</v>
      </c>
      <c r="CZ85" s="191" t="e">
        <f t="shared" si="242"/>
        <v>#DIV/0!</v>
      </c>
      <c r="DA85" s="191">
        <f t="shared" si="243"/>
        <v>1</v>
      </c>
      <c r="DB85" s="191">
        <f t="shared" si="244"/>
        <v>0</v>
      </c>
      <c r="DC85" s="2" t="str">
        <f t="shared" si="245"/>
        <v>Soft</v>
      </c>
      <c r="DD85" s="2"/>
      <c r="DE85" s="2">
        <f t="shared" si="246"/>
        <v>0</v>
      </c>
      <c r="DF85" s="191" t="e">
        <f t="shared" si="247"/>
        <v>#DIV/0!</v>
      </c>
      <c r="DG85" s="191" t="e">
        <f t="shared" si="248"/>
        <v>#DIV/0!</v>
      </c>
      <c r="DH85" s="191" t="e">
        <f t="shared" si="249"/>
        <v>#DIV/0!</v>
      </c>
      <c r="DI85" s="191" t="e">
        <f t="shared" si="250"/>
        <v>#DIV/0!</v>
      </c>
      <c r="DJ85" s="191" t="e">
        <f t="shared" ref="DJ85:DJ99" si="280">DF85*DG85*DH85*DI85</f>
        <v>#DIV/0!</v>
      </c>
      <c r="DK85" s="2"/>
      <c r="DL85" s="2"/>
      <c r="DM85" s="2"/>
      <c r="DN85" s="2">
        <f t="shared" si="251"/>
        <v>1</v>
      </c>
      <c r="DO85" s="191" t="e">
        <f t="shared" si="252"/>
        <v>#DIV/0!</v>
      </c>
      <c r="DP85" s="191" t="e">
        <f t="shared" si="253"/>
        <v>#DIV/0!</v>
      </c>
      <c r="DQ85" s="191" t="e">
        <f t="shared" si="254"/>
        <v>#DIV/0!</v>
      </c>
      <c r="DR85" s="191" t="e">
        <f t="shared" si="255"/>
        <v>#DIV/0!</v>
      </c>
      <c r="DS85" s="191" t="e">
        <f t="shared" si="256"/>
        <v>#DIV/0!</v>
      </c>
      <c r="DT85" s="191" t="e">
        <f t="shared" si="257"/>
        <v>#DIV/0!</v>
      </c>
      <c r="DU85" s="191">
        <f t="shared" si="258"/>
        <v>0</v>
      </c>
      <c r="DV85" s="2"/>
      <c r="DW85" s="2" t="b">
        <f t="shared" si="259"/>
        <v>1</v>
      </c>
      <c r="DX85" s="2" t="b">
        <f t="shared" si="260"/>
        <v>1</v>
      </c>
      <c r="DY85" s="2" t="b">
        <f t="shared" si="261"/>
        <v>1</v>
      </c>
      <c r="DZ85" s="2" t="b">
        <f t="shared" si="262"/>
        <v>1</v>
      </c>
      <c r="EA85" s="2" t="b">
        <f t="shared" si="263"/>
        <v>1</v>
      </c>
      <c r="EB85"/>
    </row>
    <row r="86" spans="1:132" s="108" customFormat="1" ht="18.5" hidden="1" thickBot="1" x14ac:dyDescent="0.45">
      <c r="A86" s="109"/>
      <c r="B86" s="88" t="str">
        <f t="shared" si="80"/>
        <v>-</v>
      </c>
      <c r="C86" s="118">
        <v>67</v>
      </c>
      <c r="D86" s="794"/>
      <c r="E86" s="795"/>
      <c r="F86" s="566"/>
      <c r="G86" s="567"/>
      <c r="H86" s="568"/>
      <c r="I86" s="558"/>
      <c r="J86" s="559"/>
      <c r="K86" s="560"/>
      <c r="L86" s="560"/>
      <c r="M86" s="560"/>
      <c r="N86" s="561"/>
      <c r="O86" s="562"/>
      <c r="P86" s="563"/>
      <c r="Q86" s="564"/>
      <c r="R86" s="565"/>
      <c r="S86" s="112" t="str">
        <f t="shared" si="191"/>
        <v/>
      </c>
      <c r="T86" s="113" t="str">
        <f t="shared" si="192"/>
        <v/>
      </c>
      <c r="U86" s="114">
        <f t="shared" si="193"/>
        <v>0</v>
      </c>
      <c r="V86" s="117" t="str">
        <f t="shared" si="194"/>
        <v/>
      </c>
      <c r="W86" s="234" t="str">
        <f t="shared" si="195"/>
        <v/>
      </c>
      <c r="X86" s="115">
        <f t="shared" si="184"/>
        <v>0</v>
      </c>
      <c r="Y86" s="116" t="str">
        <f t="shared" si="196"/>
        <v/>
      </c>
      <c r="Z86" s="111"/>
      <c r="AA86" s="2"/>
      <c r="AB86" s="2">
        <v>67</v>
      </c>
      <c r="AC86" s="22" t="str">
        <f t="shared" si="185"/>
        <v>-</v>
      </c>
      <c r="AD86" s="22">
        <f t="shared" si="186"/>
        <v>0</v>
      </c>
      <c r="AE86" s="22">
        <f t="shared" si="264"/>
        <v>0</v>
      </c>
      <c r="AF86" s="22"/>
      <c r="AG86" s="21">
        <f t="shared" si="265"/>
        <v>0</v>
      </c>
      <c r="AH86" s="6">
        <f t="shared" si="197"/>
        <v>0</v>
      </c>
      <c r="AI86" s="7">
        <f>IF(SUM(AH86:AH$99)=0,0,F86&gt;0)</f>
        <v>0</v>
      </c>
      <c r="AJ86" s="6">
        <f t="shared" si="198"/>
        <v>0</v>
      </c>
      <c r="AK86" s="7">
        <f>IF(SUM(AH86:AH$99)=0,0,AND(AI86=FALSE,AJ86=0,SUM(AJ86:AJ$99)&gt;0))</f>
        <v>0</v>
      </c>
      <c r="AL86" s="7">
        <f t="shared" si="266"/>
        <v>0</v>
      </c>
      <c r="AM86" s="7">
        <f t="shared" si="199"/>
        <v>0</v>
      </c>
      <c r="AN86" s="9">
        <f t="shared" si="200"/>
        <v>0</v>
      </c>
      <c r="AO86" s="9">
        <f t="shared" si="201"/>
        <v>0</v>
      </c>
      <c r="AP86" s="486">
        <f t="shared" si="202"/>
        <v>0</v>
      </c>
      <c r="AQ86" s="486">
        <f t="shared" si="267"/>
        <v>0</v>
      </c>
      <c r="AR86" s="7">
        <f t="shared" si="203"/>
        <v>0</v>
      </c>
      <c r="AS86" s="7" t="str">
        <f t="shared" si="268"/>
        <v/>
      </c>
      <c r="AT86" s="7">
        <f t="shared" si="204"/>
        <v>0</v>
      </c>
      <c r="AU86" s="485">
        <f t="shared" si="269"/>
        <v>0</v>
      </c>
      <c r="AV86" s="7">
        <f t="shared" si="205"/>
        <v>0</v>
      </c>
      <c r="AW86" s="7">
        <f t="shared" si="206"/>
        <v>0</v>
      </c>
      <c r="AX86" s="7">
        <f t="shared" si="207"/>
        <v>0</v>
      </c>
      <c r="AY86" s="484">
        <f t="shared" si="270"/>
        <v>0</v>
      </c>
      <c r="AZ86" s="7">
        <f t="shared" si="208"/>
        <v>0</v>
      </c>
      <c r="BA86" s="483">
        <f t="shared" si="271"/>
        <v>0</v>
      </c>
      <c r="BB86" s="487" t="str">
        <f t="shared" si="272"/>
        <v/>
      </c>
      <c r="BC86" s="487" t="str">
        <f t="shared" si="273"/>
        <v/>
      </c>
      <c r="BD86" s="7">
        <f t="shared" si="209"/>
        <v>0</v>
      </c>
      <c r="BE86" s="7">
        <f t="shared" si="210"/>
        <v>0</v>
      </c>
      <c r="BF86" s="7">
        <f t="shared" si="211"/>
        <v>0</v>
      </c>
      <c r="BG86" s="8" t="b">
        <f t="shared" si="212"/>
        <v>0</v>
      </c>
      <c r="BH86" s="235" t="str">
        <f t="shared" si="213"/>
        <v/>
      </c>
      <c r="BI86" s="75">
        <f t="shared" si="214"/>
        <v>0</v>
      </c>
      <c r="BJ86" s="15">
        <f t="shared" si="215"/>
        <v>0</v>
      </c>
      <c r="BK86" s="15">
        <f t="shared" si="187"/>
        <v>0</v>
      </c>
      <c r="BL86" s="18">
        <f t="shared" si="216"/>
        <v>0</v>
      </c>
      <c r="BM86" s="78">
        <f t="shared" si="217"/>
        <v>0</v>
      </c>
      <c r="BN86" s="14">
        <f t="shared" si="218"/>
        <v>0</v>
      </c>
      <c r="BO86" s="14">
        <f t="shared" si="219"/>
        <v>0</v>
      </c>
      <c r="BP86" s="15">
        <f t="shared" si="188"/>
        <v>0</v>
      </c>
      <c r="BQ86" s="73">
        <f t="shared" si="220"/>
        <v>0</v>
      </c>
      <c r="BR86" s="13"/>
      <c r="BS86" s="75">
        <f t="shared" ref="BS86:BS99" si="281">IF($Q86="device",0,BI86)</f>
        <v>0</v>
      </c>
      <c r="BT86" s="15">
        <f t="shared" ref="BT86:BT99" si="282">IF($Q86="device",0,BJ86)</f>
        <v>0</v>
      </c>
      <c r="BU86" s="15">
        <f t="shared" ref="BU86:BU99" si="283">IF($Q86="device",0,BK86)</f>
        <v>0</v>
      </c>
      <c r="BV86" s="17">
        <f t="shared" ref="BV86:BV99" si="284">IF($Q86="device",0,BL86)</f>
        <v>0</v>
      </c>
      <c r="BW86" s="72">
        <f t="shared" si="221"/>
        <v>0</v>
      </c>
      <c r="BX86" s="14">
        <f t="shared" si="222"/>
        <v>0</v>
      </c>
      <c r="BY86" s="15">
        <f t="shared" si="189"/>
        <v>0</v>
      </c>
      <c r="BZ86" s="14">
        <f t="shared" si="274"/>
        <v>0</v>
      </c>
      <c r="CA86" s="73">
        <f t="shared" si="223"/>
        <v>0</v>
      </c>
      <c r="CB86" s="192" t="e">
        <f t="shared" si="224"/>
        <v>#DIV/0!</v>
      </c>
      <c r="CC86" s="72" t="e">
        <f t="shared" si="225"/>
        <v>#DIV/0!</v>
      </c>
      <c r="CD86" s="14">
        <f t="shared" si="226"/>
        <v>0</v>
      </c>
      <c r="CE86" s="19">
        <f t="shared" si="275"/>
        <v>0</v>
      </c>
      <c r="CF86" s="19">
        <f t="shared" si="227"/>
        <v>0</v>
      </c>
      <c r="CG86" s="20" t="e">
        <f t="shared" si="228"/>
        <v>#DIV/0!</v>
      </c>
      <c r="CH86" s="20" t="e">
        <f t="shared" si="229"/>
        <v>#DIV/0!</v>
      </c>
      <c r="CI86" s="83" t="e">
        <f t="shared" si="190"/>
        <v>#DIV/0!</v>
      </c>
      <c r="CJ86" s="77" t="e">
        <f t="shared" si="230"/>
        <v>#DIV/0!</v>
      </c>
      <c r="CK86" s="2" t="e">
        <f t="shared" si="276"/>
        <v>#DIV/0!</v>
      </c>
      <c r="CL86" s="2" t="str">
        <f t="shared" si="231"/>
        <v/>
      </c>
      <c r="CM86" s="231" t="e">
        <f t="shared" si="277"/>
        <v>#DIV/0!</v>
      </c>
      <c r="CN86" s="233" t="e">
        <f t="shared" si="278"/>
        <v>#DIV/0!</v>
      </c>
      <c r="CO86" s="233">
        <f t="shared" si="279"/>
        <v>0</v>
      </c>
      <c r="CP86" s="2">
        <f t="shared" si="232"/>
        <v>1</v>
      </c>
      <c r="CQ86" s="2">
        <f t="shared" si="233"/>
        <v>1</v>
      </c>
      <c r="CR86" s="2" t="str">
        <f t="shared" si="234"/>
        <v/>
      </c>
      <c r="CS86" s="2">
        <f t="shared" si="235"/>
        <v>0</v>
      </c>
      <c r="CT86" s="191">
        <f t="shared" si="236"/>
        <v>0</v>
      </c>
      <c r="CU86" s="2" t="str">
        <f t="shared" si="237"/>
        <v>OK</v>
      </c>
      <c r="CV86" s="232">
        <f t="shared" si="238"/>
        <v>0.05</v>
      </c>
      <c r="CW86" s="191" t="e">
        <f t="shared" si="239"/>
        <v>#DIV/0!</v>
      </c>
      <c r="CX86" s="191" t="e">
        <f t="shared" si="240"/>
        <v>#DIV/0!</v>
      </c>
      <c r="CY86" s="191" t="e">
        <f t="shared" si="241"/>
        <v>#DIV/0!</v>
      </c>
      <c r="CZ86" s="191" t="e">
        <f t="shared" si="242"/>
        <v>#DIV/0!</v>
      </c>
      <c r="DA86" s="191">
        <f t="shared" si="243"/>
        <v>1</v>
      </c>
      <c r="DB86" s="191">
        <f t="shared" si="244"/>
        <v>0</v>
      </c>
      <c r="DC86" s="2" t="str">
        <f t="shared" si="245"/>
        <v>Soft</v>
      </c>
      <c r="DD86" s="2"/>
      <c r="DE86" s="2">
        <f t="shared" si="246"/>
        <v>0</v>
      </c>
      <c r="DF86" s="191" t="e">
        <f t="shared" si="247"/>
        <v>#DIV/0!</v>
      </c>
      <c r="DG86" s="191" t="e">
        <f t="shared" si="248"/>
        <v>#DIV/0!</v>
      </c>
      <c r="DH86" s="191" t="e">
        <f t="shared" si="249"/>
        <v>#DIV/0!</v>
      </c>
      <c r="DI86" s="191" t="e">
        <f t="shared" si="250"/>
        <v>#DIV/0!</v>
      </c>
      <c r="DJ86" s="191" t="e">
        <f t="shared" si="280"/>
        <v>#DIV/0!</v>
      </c>
      <c r="DK86" s="2"/>
      <c r="DL86" s="2"/>
      <c r="DM86" s="2"/>
      <c r="DN86" s="2">
        <f t="shared" si="251"/>
        <v>1</v>
      </c>
      <c r="DO86" s="191" t="e">
        <f t="shared" si="252"/>
        <v>#DIV/0!</v>
      </c>
      <c r="DP86" s="191" t="e">
        <f t="shared" si="253"/>
        <v>#DIV/0!</v>
      </c>
      <c r="DQ86" s="191" t="e">
        <f t="shared" si="254"/>
        <v>#DIV/0!</v>
      </c>
      <c r="DR86" s="191" t="e">
        <f t="shared" si="255"/>
        <v>#DIV/0!</v>
      </c>
      <c r="DS86" s="191" t="e">
        <f t="shared" si="256"/>
        <v>#DIV/0!</v>
      </c>
      <c r="DT86" s="191" t="e">
        <f t="shared" si="257"/>
        <v>#DIV/0!</v>
      </c>
      <c r="DU86" s="191">
        <f t="shared" si="258"/>
        <v>0</v>
      </c>
      <c r="DV86" s="2"/>
      <c r="DW86" s="2" t="b">
        <f t="shared" si="259"/>
        <v>1</v>
      </c>
      <c r="DX86" s="2" t="b">
        <f t="shared" si="260"/>
        <v>1</v>
      </c>
      <c r="DY86" s="2" t="b">
        <f t="shared" si="261"/>
        <v>1</v>
      </c>
      <c r="DZ86" s="2" t="b">
        <f t="shared" si="262"/>
        <v>1</v>
      </c>
      <c r="EA86" s="2" t="b">
        <f t="shared" si="263"/>
        <v>1</v>
      </c>
      <c r="EB86"/>
    </row>
    <row r="87" spans="1:132" s="108" customFormat="1" ht="18.5" hidden="1" thickBot="1" x14ac:dyDescent="0.45">
      <c r="A87" s="109"/>
      <c r="B87" s="88" t="str">
        <f t="shared" si="80"/>
        <v>-</v>
      </c>
      <c r="C87" s="118">
        <v>68</v>
      </c>
      <c r="D87" s="794"/>
      <c r="E87" s="795"/>
      <c r="F87" s="566"/>
      <c r="G87" s="567"/>
      <c r="H87" s="568"/>
      <c r="I87" s="558"/>
      <c r="J87" s="559"/>
      <c r="K87" s="560"/>
      <c r="L87" s="560"/>
      <c r="M87" s="560"/>
      <c r="N87" s="561"/>
      <c r="O87" s="562"/>
      <c r="P87" s="563"/>
      <c r="Q87" s="564"/>
      <c r="R87" s="565"/>
      <c r="S87" s="112" t="str">
        <f t="shared" si="191"/>
        <v/>
      </c>
      <c r="T87" s="113" t="str">
        <f t="shared" si="192"/>
        <v/>
      </c>
      <c r="U87" s="114">
        <f t="shared" si="193"/>
        <v>0</v>
      </c>
      <c r="V87" s="117" t="str">
        <f t="shared" si="194"/>
        <v/>
      </c>
      <c r="W87" s="234" t="str">
        <f t="shared" si="195"/>
        <v/>
      </c>
      <c r="X87" s="115">
        <f t="shared" si="184"/>
        <v>0</v>
      </c>
      <c r="Y87" s="116" t="str">
        <f t="shared" si="196"/>
        <v/>
      </c>
      <c r="Z87" s="111"/>
      <c r="AA87" s="2"/>
      <c r="AB87" s="2">
        <v>68</v>
      </c>
      <c r="AC87" s="22" t="str">
        <f t="shared" si="185"/>
        <v>-</v>
      </c>
      <c r="AD87" s="22">
        <f t="shared" si="186"/>
        <v>0</v>
      </c>
      <c r="AE87" s="22">
        <f t="shared" si="264"/>
        <v>0</v>
      </c>
      <c r="AF87" s="22"/>
      <c r="AG87" s="21">
        <f t="shared" si="265"/>
        <v>0</v>
      </c>
      <c r="AH87" s="6">
        <f t="shared" si="197"/>
        <v>0</v>
      </c>
      <c r="AI87" s="7">
        <f>IF(SUM(AH87:AH$99)=0,0,F87&gt;0)</f>
        <v>0</v>
      </c>
      <c r="AJ87" s="6">
        <f t="shared" si="198"/>
        <v>0</v>
      </c>
      <c r="AK87" s="7">
        <f>IF(SUM(AH87:AH$99)=0,0,AND(AI87=FALSE,AJ87=0,SUM(AJ87:AJ$99)&gt;0))</f>
        <v>0</v>
      </c>
      <c r="AL87" s="7">
        <f t="shared" si="266"/>
        <v>0</v>
      </c>
      <c r="AM87" s="7">
        <f t="shared" si="199"/>
        <v>0</v>
      </c>
      <c r="AN87" s="9">
        <f t="shared" si="200"/>
        <v>0</v>
      </c>
      <c r="AO87" s="9">
        <f t="shared" si="201"/>
        <v>0</v>
      </c>
      <c r="AP87" s="486">
        <f t="shared" si="202"/>
        <v>0</v>
      </c>
      <c r="AQ87" s="486">
        <f t="shared" si="267"/>
        <v>0</v>
      </c>
      <c r="AR87" s="7">
        <f t="shared" si="203"/>
        <v>0</v>
      </c>
      <c r="AS87" s="7" t="str">
        <f t="shared" si="268"/>
        <v/>
      </c>
      <c r="AT87" s="7">
        <f t="shared" si="204"/>
        <v>0</v>
      </c>
      <c r="AU87" s="485">
        <f t="shared" si="269"/>
        <v>0</v>
      </c>
      <c r="AV87" s="7">
        <f t="shared" si="205"/>
        <v>0</v>
      </c>
      <c r="AW87" s="7">
        <f t="shared" si="206"/>
        <v>0</v>
      </c>
      <c r="AX87" s="7">
        <f t="shared" si="207"/>
        <v>0</v>
      </c>
      <c r="AY87" s="484">
        <f t="shared" si="270"/>
        <v>0</v>
      </c>
      <c r="AZ87" s="7">
        <f t="shared" si="208"/>
        <v>0</v>
      </c>
      <c r="BA87" s="483">
        <f t="shared" si="271"/>
        <v>0</v>
      </c>
      <c r="BB87" s="487" t="str">
        <f t="shared" si="272"/>
        <v/>
      </c>
      <c r="BC87" s="487" t="str">
        <f t="shared" si="273"/>
        <v/>
      </c>
      <c r="BD87" s="7">
        <f t="shared" si="209"/>
        <v>0</v>
      </c>
      <c r="BE87" s="7">
        <f t="shared" si="210"/>
        <v>0</v>
      </c>
      <c r="BF87" s="7">
        <f t="shared" si="211"/>
        <v>0</v>
      </c>
      <c r="BG87" s="8" t="b">
        <f t="shared" si="212"/>
        <v>0</v>
      </c>
      <c r="BH87" s="235" t="str">
        <f t="shared" si="213"/>
        <v/>
      </c>
      <c r="BI87" s="75">
        <f t="shared" si="214"/>
        <v>0</v>
      </c>
      <c r="BJ87" s="15">
        <f t="shared" si="215"/>
        <v>0</v>
      </c>
      <c r="BK87" s="15">
        <f t="shared" si="187"/>
        <v>0</v>
      </c>
      <c r="BL87" s="18">
        <f t="shared" si="216"/>
        <v>0</v>
      </c>
      <c r="BM87" s="78">
        <f t="shared" si="217"/>
        <v>0</v>
      </c>
      <c r="BN87" s="14">
        <f t="shared" si="218"/>
        <v>0</v>
      </c>
      <c r="BO87" s="14">
        <f t="shared" si="219"/>
        <v>0</v>
      </c>
      <c r="BP87" s="15">
        <f t="shared" si="188"/>
        <v>0</v>
      </c>
      <c r="BQ87" s="73">
        <f t="shared" si="220"/>
        <v>0</v>
      </c>
      <c r="BR87" s="13"/>
      <c r="BS87" s="75">
        <f t="shared" si="281"/>
        <v>0</v>
      </c>
      <c r="BT87" s="15">
        <f t="shared" si="282"/>
        <v>0</v>
      </c>
      <c r="BU87" s="15">
        <f t="shared" si="283"/>
        <v>0</v>
      </c>
      <c r="BV87" s="17">
        <f t="shared" si="284"/>
        <v>0</v>
      </c>
      <c r="BW87" s="72">
        <f t="shared" si="221"/>
        <v>0</v>
      </c>
      <c r="BX87" s="14">
        <f t="shared" si="222"/>
        <v>0</v>
      </c>
      <c r="BY87" s="15">
        <f t="shared" si="189"/>
        <v>0</v>
      </c>
      <c r="BZ87" s="14">
        <f t="shared" si="274"/>
        <v>0</v>
      </c>
      <c r="CA87" s="73">
        <f t="shared" si="223"/>
        <v>0</v>
      </c>
      <c r="CB87" s="192" t="e">
        <f t="shared" si="224"/>
        <v>#DIV/0!</v>
      </c>
      <c r="CC87" s="72" t="e">
        <f t="shared" si="225"/>
        <v>#DIV/0!</v>
      </c>
      <c r="CD87" s="14">
        <f t="shared" si="226"/>
        <v>0</v>
      </c>
      <c r="CE87" s="19">
        <f t="shared" si="275"/>
        <v>0</v>
      </c>
      <c r="CF87" s="19">
        <f t="shared" si="227"/>
        <v>0</v>
      </c>
      <c r="CG87" s="20" t="e">
        <f t="shared" si="228"/>
        <v>#DIV/0!</v>
      </c>
      <c r="CH87" s="20" t="e">
        <f t="shared" si="229"/>
        <v>#DIV/0!</v>
      </c>
      <c r="CI87" s="83" t="e">
        <f t="shared" si="190"/>
        <v>#DIV/0!</v>
      </c>
      <c r="CJ87" s="77" t="e">
        <f t="shared" si="230"/>
        <v>#DIV/0!</v>
      </c>
      <c r="CK87" s="2" t="e">
        <f t="shared" si="276"/>
        <v>#DIV/0!</v>
      </c>
      <c r="CL87" s="2" t="str">
        <f t="shared" si="231"/>
        <v/>
      </c>
      <c r="CM87" s="231" t="e">
        <f t="shared" si="277"/>
        <v>#DIV/0!</v>
      </c>
      <c r="CN87" s="233" t="e">
        <f t="shared" si="278"/>
        <v>#DIV/0!</v>
      </c>
      <c r="CO87" s="233">
        <f t="shared" si="279"/>
        <v>0</v>
      </c>
      <c r="CP87" s="2">
        <f t="shared" si="232"/>
        <v>1</v>
      </c>
      <c r="CQ87" s="2">
        <f t="shared" si="233"/>
        <v>1</v>
      </c>
      <c r="CR87" s="2" t="str">
        <f t="shared" si="234"/>
        <v/>
      </c>
      <c r="CS87" s="2">
        <f t="shared" si="235"/>
        <v>0</v>
      </c>
      <c r="CT87" s="191">
        <f t="shared" si="236"/>
        <v>0</v>
      </c>
      <c r="CU87" s="2" t="str">
        <f t="shared" si="237"/>
        <v>OK</v>
      </c>
      <c r="CV87" s="232">
        <f t="shared" si="238"/>
        <v>0.05</v>
      </c>
      <c r="CW87" s="191" t="e">
        <f t="shared" si="239"/>
        <v>#DIV/0!</v>
      </c>
      <c r="CX87" s="191" t="e">
        <f t="shared" si="240"/>
        <v>#DIV/0!</v>
      </c>
      <c r="CY87" s="191" t="e">
        <f t="shared" si="241"/>
        <v>#DIV/0!</v>
      </c>
      <c r="CZ87" s="191" t="e">
        <f t="shared" si="242"/>
        <v>#DIV/0!</v>
      </c>
      <c r="DA87" s="191">
        <f t="shared" si="243"/>
        <v>1</v>
      </c>
      <c r="DB87" s="191">
        <f t="shared" si="244"/>
        <v>0</v>
      </c>
      <c r="DC87" s="2" t="str">
        <f t="shared" si="245"/>
        <v>Soft</v>
      </c>
      <c r="DD87" s="2"/>
      <c r="DE87" s="2">
        <f t="shared" si="246"/>
        <v>0</v>
      </c>
      <c r="DF87" s="191" t="e">
        <f t="shared" si="247"/>
        <v>#DIV/0!</v>
      </c>
      <c r="DG87" s="191" t="e">
        <f t="shared" si="248"/>
        <v>#DIV/0!</v>
      </c>
      <c r="DH87" s="191" t="e">
        <f t="shared" si="249"/>
        <v>#DIV/0!</v>
      </c>
      <c r="DI87" s="191" t="e">
        <f t="shared" si="250"/>
        <v>#DIV/0!</v>
      </c>
      <c r="DJ87" s="191" t="e">
        <f t="shared" si="280"/>
        <v>#DIV/0!</v>
      </c>
      <c r="DK87" s="2"/>
      <c r="DL87" s="2"/>
      <c r="DM87" s="2"/>
      <c r="DN87" s="2">
        <f t="shared" si="251"/>
        <v>1</v>
      </c>
      <c r="DO87" s="191" t="e">
        <f t="shared" si="252"/>
        <v>#DIV/0!</v>
      </c>
      <c r="DP87" s="191" t="e">
        <f t="shared" si="253"/>
        <v>#DIV/0!</v>
      </c>
      <c r="DQ87" s="191" t="e">
        <f t="shared" si="254"/>
        <v>#DIV/0!</v>
      </c>
      <c r="DR87" s="191" t="e">
        <f t="shared" si="255"/>
        <v>#DIV/0!</v>
      </c>
      <c r="DS87" s="191" t="e">
        <f t="shared" si="256"/>
        <v>#DIV/0!</v>
      </c>
      <c r="DT87" s="191" t="e">
        <f t="shared" si="257"/>
        <v>#DIV/0!</v>
      </c>
      <c r="DU87" s="191">
        <f t="shared" si="258"/>
        <v>0</v>
      </c>
      <c r="DV87" s="2"/>
      <c r="DW87" s="2" t="b">
        <f t="shared" si="259"/>
        <v>1</v>
      </c>
      <c r="DX87" s="2" t="b">
        <f t="shared" si="260"/>
        <v>1</v>
      </c>
      <c r="DY87" s="2" t="b">
        <f t="shared" si="261"/>
        <v>1</v>
      </c>
      <c r="DZ87" s="2" t="b">
        <f t="shared" si="262"/>
        <v>1</v>
      </c>
      <c r="EA87" s="2" t="b">
        <f t="shared" si="263"/>
        <v>1</v>
      </c>
      <c r="EB87"/>
    </row>
    <row r="88" spans="1:132" s="108" customFormat="1" ht="18.5" hidden="1" thickBot="1" x14ac:dyDescent="0.45">
      <c r="A88" s="109"/>
      <c r="B88" s="88" t="str">
        <f t="shared" si="80"/>
        <v>-</v>
      </c>
      <c r="C88" s="118">
        <v>69</v>
      </c>
      <c r="D88" s="794"/>
      <c r="E88" s="795"/>
      <c r="F88" s="566"/>
      <c r="G88" s="567"/>
      <c r="H88" s="568"/>
      <c r="I88" s="558"/>
      <c r="J88" s="559"/>
      <c r="K88" s="560"/>
      <c r="L88" s="560"/>
      <c r="M88" s="560"/>
      <c r="N88" s="561"/>
      <c r="O88" s="562"/>
      <c r="P88" s="563"/>
      <c r="Q88" s="564"/>
      <c r="R88" s="565"/>
      <c r="S88" s="112" t="str">
        <f t="shared" si="191"/>
        <v/>
      </c>
      <c r="T88" s="113" t="str">
        <f t="shared" si="192"/>
        <v/>
      </c>
      <c r="U88" s="114">
        <f t="shared" si="193"/>
        <v>0</v>
      </c>
      <c r="V88" s="117" t="str">
        <f t="shared" si="194"/>
        <v/>
      </c>
      <c r="W88" s="234" t="str">
        <f t="shared" si="195"/>
        <v/>
      </c>
      <c r="X88" s="115">
        <f t="shared" si="184"/>
        <v>0</v>
      </c>
      <c r="Y88" s="116" t="str">
        <f t="shared" si="196"/>
        <v/>
      </c>
      <c r="Z88" s="111"/>
      <c r="AA88" s="2"/>
      <c r="AB88" s="2">
        <v>69</v>
      </c>
      <c r="AC88" s="22" t="str">
        <f t="shared" si="185"/>
        <v>-</v>
      </c>
      <c r="AD88" s="22">
        <f t="shared" si="186"/>
        <v>0</v>
      </c>
      <c r="AE88" s="22">
        <f t="shared" si="264"/>
        <v>0</v>
      </c>
      <c r="AF88" s="22"/>
      <c r="AG88" s="21">
        <f t="shared" si="265"/>
        <v>0</v>
      </c>
      <c r="AH88" s="6">
        <f t="shared" si="197"/>
        <v>0</v>
      </c>
      <c r="AI88" s="7">
        <f>IF(SUM(AH88:AH$99)=0,0,F88&gt;0)</f>
        <v>0</v>
      </c>
      <c r="AJ88" s="6">
        <f t="shared" si="198"/>
        <v>0</v>
      </c>
      <c r="AK88" s="7">
        <f>IF(SUM(AH88:AH$99)=0,0,AND(AI88=FALSE,AJ88=0,SUM(AJ88:AJ$99)&gt;0))</f>
        <v>0</v>
      </c>
      <c r="AL88" s="7">
        <f t="shared" si="266"/>
        <v>0</v>
      </c>
      <c r="AM88" s="7">
        <f t="shared" si="199"/>
        <v>0</v>
      </c>
      <c r="AN88" s="9">
        <f t="shared" si="200"/>
        <v>0</v>
      </c>
      <c r="AO88" s="9">
        <f t="shared" si="201"/>
        <v>0</v>
      </c>
      <c r="AP88" s="486">
        <f t="shared" si="202"/>
        <v>0</v>
      </c>
      <c r="AQ88" s="486">
        <f t="shared" si="267"/>
        <v>0</v>
      </c>
      <c r="AR88" s="7">
        <f t="shared" si="203"/>
        <v>0</v>
      </c>
      <c r="AS88" s="7" t="str">
        <f t="shared" si="268"/>
        <v/>
      </c>
      <c r="AT88" s="7">
        <f t="shared" si="204"/>
        <v>0</v>
      </c>
      <c r="AU88" s="485">
        <f t="shared" si="269"/>
        <v>0</v>
      </c>
      <c r="AV88" s="7">
        <f t="shared" si="205"/>
        <v>0</v>
      </c>
      <c r="AW88" s="7">
        <f t="shared" si="206"/>
        <v>0</v>
      </c>
      <c r="AX88" s="7">
        <f t="shared" si="207"/>
        <v>0</v>
      </c>
      <c r="AY88" s="484">
        <f t="shared" si="270"/>
        <v>0</v>
      </c>
      <c r="AZ88" s="7">
        <f t="shared" si="208"/>
        <v>0</v>
      </c>
      <c r="BA88" s="483">
        <f t="shared" si="271"/>
        <v>0</v>
      </c>
      <c r="BB88" s="487" t="str">
        <f t="shared" si="272"/>
        <v/>
      </c>
      <c r="BC88" s="487" t="str">
        <f t="shared" si="273"/>
        <v/>
      </c>
      <c r="BD88" s="7">
        <f t="shared" si="209"/>
        <v>0</v>
      </c>
      <c r="BE88" s="7">
        <f t="shared" si="210"/>
        <v>0</v>
      </c>
      <c r="BF88" s="7">
        <f t="shared" si="211"/>
        <v>0</v>
      </c>
      <c r="BG88" s="8" t="b">
        <f t="shared" si="212"/>
        <v>0</v>
      </c>
      <c r="BH88" s="235" t="str">
        <f t="shared" si="213"/>
        <v/>
      </c>
      <c r="BI88" s="75">
        <f t="shared" si="214"/>
        <v>0</v>
      </c>
      <c r="BJ88" s="15">
        <f t="shared" si="215"/>
        <v>0</v>
      </c>
      <c r="BK88" s="15">
        <f t="shared" si="187"/>
        <v>0</v>
      </c>
      <c r="BL88" s="18">
        <f t="shared" si="216"/>
        <v>0</v>
      </c>
      <c r="BM88" s="78">
        <f t="shared" si="217"/>
        <v>0</v>
      </c>
      <c r="BN88" s="14">
        <f t="shared" si="218"/>
        <v>0</v>
      </c>
      <c r="BO88" s="14">
        <f t="shared" si="219"/>
        <v>0</v>
      </c>
      <c r="BP88" s="15">
        <f t="shared" si="188"/>
        <v>0</v>
      </c>
      <c r="BQ88" s="73">
        <f t="shared" si="220"/>
        <v>0</v>
      </c>
      <c r="BR88" s="13"/>
      <c r="BS88" s="75">
        <f t="shared" si="281"/>
        <v>0</v>
      </c>
      <c r="BT88" s="15">
        <f t="shared" si="282"/>
        <v>0</v>
      </c>
      <c r="BU88" s="15">
        <f t="shared" si="283"/>
        <v>0</v>
      </c>
      <c r="BV88" s="17">
        <f t="shared" si="284"/>
        <v>0</v>
      </c>
      <c r="BW88" s="72">
        <f t="shared" si="221"/>
        <v>0</v>
      </c>
      <c r="BX88" s="14">
        <f t="shared" si="222"/>
        <v>0</v>
      </c>
      <c r="BY88" s="15">
        <f t="shared" si="189"/>
        <v>0</v>
      </c>
      <c r="BZ88" s="14">
        <f t="shared" si="274"/>
        <v>0</v>
      </c>
      <c r="CA88" s="73">
        <f t="shared" si="223"/>
        <v>0</v>
      </c>
      <c r="CB88" s="192" t="e">
        <f t="shared" si="224"/>
        <v>#DIV/0!</v>
      </c>
      <c r="CC88" s="72" t="e">
        <f t="shared" si="225"/>
        <v>#DIV/0!</v>
      </c>
      <c r="CD88" s="14">
        <f t="shared" si="226"/>
        <v>0</v>
      </c>
      <c r="CE88" s="19">
        <f t="shared" si="275"/>
        <v>0</v>
      </c>
      <c r="CF88" s="19">
        <f t="shared" si="227"/>
        <v>0</v>
      </c>
      <c r="CG88" s="20" t="e">
        <f t="shared" si="228"/>
        <v>#DIV/0!</v>
      </c>
      <c r="CH88" s="20" t="e">
        <f t="shared" si="229"/>
        <v>#DIV/0!</v>
      </c>
      <c r="CI88" s="83" t="e">
        <f t="shared" si="190"/>
        <v>#DIV/0!</v>
      </c>
      <c r="CJ88" s="77" t="e">
        <f t="shared" si="230"/>
        <v>#DIV/0!</v>
      </c>
      <c r="CK88" s="2" t="e">
        <f t="shared" si="276"/>
        <v>#DIV/0!</v>
      </c>
      <c r="CL88" s="2" t="str">
        <f t="shared" si="231"/>
        <v/>
      </c>
      <c r="CM88" s="231" t="e">
        <f t="shared" si="277"/>
        <v>#DIV/0!</v>
      </c>
      <c r="CN88" s="233" t="e">
        <f t="shared" si="278"/>
        <v>#DIV/0!</v>
      </c>
      <c r="CO88" s="233">
        <f t="shared" si="279"/>
        <v>0</v>
      </c>
      <c r="CP88" s="2">
        <f t="shared" si="232"/>
        <v>1</v>
      </c>
      <c r="CQ88" s="2">
        <f t="shared" si="233"/>
        <v>1</v>
      </c>
      <c r="CR88" s="2" t="str">
        <f t="shared" si="234"/>
        <v/>
      </c>
      <c r="CS88" s="2">
        <f t="shared" si="235"/>
        <v>0</v>
      </c>
      <c r="CT88" s="191">
        <f t="shared" si="236"/>
        <v>0</v>
      </c>
      <c r="CU88" s="2" t="str">
        <f t="shared" si="237"/>
        <v>OK</v>
      </c>
      <c r="CV88" s="232">
        <f t="shared" si="238"/>
        <v>0.05</v>
      </c>
      <c r="CW88" s="191" t="e">
        <f t="shared" si="239"/>
        <v>#DIV/0!</v>
      </c>
      <c r="CX88" s="191" t="e">
        <f t="shared" si="240"/>
        <v>#DIV/0!</v>
      </c>
      <c r="CY88" s="191" t="e">
        <f t="shared" si="241"/>
        <v>#DIV/0!</v>
      </c>
      <c r="CZ88" s="191" t="e">
        <f t="shared" si="242"/>
        <v>#DIV/0!</v>
      </c>
      <c r="DA88" s="191">
        <f t="shared" si="243"/>
        <v>1</v>
      </c>
      <c r="DB88" s="191">
        <f t="shared" si="244"/>
        <v>0</v>
      </c>
      <c r="DC88" s="2" t="str">
        <f t="shared" si="245"/>
        <v>Soft</v>
      </c>
      <c r="DD88" s="2"/>
      <c r="DE88" s="2">
        <f t="shared" si="246"/>
        <v>0</v>
      </c>
      <c r="DF88" s="191" t="e">
        <f t="shared" si="247"/>
        <v>#DIV/0!</v>
      </c>
      <c r="DG88" s="191" t="e">
        <f t="shared" si="248"/>
        <v>#DIV/0!</v>
      </c>
      <c r="DH88" s="191" t="e">
        <f t="shared" si="249"/>
        <v>#DIV/0!</v>
      </c>
      <c r="DI88" s="191" t="e">
        <f t="shared" si="250"/>
        <v>#DIV/0!</v>
      </c>
      <c r="DJ88" s="191" t="e">
        <f t="shared" si="280"/>
        <v>#DIV/0!</v>
      </c>
      <c r="DK88" s="2"/>
      <c r="DL88" s="2"/>
      <c r="DM88" s="2"/>
      <c r="DN88" s="2">
        <f t="shared" si="251"/>
        <v>1</v>
      </c>
      <c r="DO88" s="191" t="e">
        <f t="shared" si="252"/>
        <v>#DIV/0!</v>
      </c>
      <c r="DP88" s="191" t="e">
        <f t="shared" si="253"/>
        <v>#DIV/0!</v>
      </c>
      <c r="DQ88" s="191" t="e">
        <f t="shared" si="254"/>
        <v>#DIV/0!</v>
      </c>
      <c r="DR88" s="191" t="e">
        <f t="shared" si="255"/>
        <v>#DIV/0!</v>
      </c>
      <c r="DS88" s="191" t="e">
        <f t="shared" si="256"/>
        <v>#DIV/0!</v>
      </c>
      <c r="DT88" s="191" t="e">
        <f t="shared" si="257"/>
        <v>#DIV/0!</v>
      </c>
      <c r="DU88" s="191">
        <f t="shared" si="258"/>
        <v>0</v>
      </c>
      <c r="DV88" s="2"/>
      <c r="DW88" s="2" t="b">
        <f t="shared" si="259"/>
        <v>1</v>
      </c>
      <c r="DX88" s="2" t="b">
        <f t="shared" si="260"/>
        <v>1</v>
      </c>
      <c r="DY88" s="2" t="b">
        <f t="shared" si="261"/>
        <v>1</v>
      </c>
      <c r="DZ88" s="2" t="b">
        <f t="shared" si="262"/>
        <v>1</v>
      </c>
      <c r="EA88" s="2" t="b">
        <f t="shared" si="263"/>
        <v>1</v>
      </c>
      <c r="EB88"/>
    </row>
    <row r="89" spans="1:132" s="108" customFormat="1" ht="18.5" hidden="1" thickBot="1" x14ac:dyDescent="0.45">
      <c r="A89" s="109"/>
      <c r="B89" s="88" t="str">
        <f t="shared" si="80"/>
        <v>-</v>
      </c>
      <c r="C89" s="118">
        <v>70</v>
      </c>
      <c r="D89" s="794"/>
      <c r="E89" s="795"/>
      <c r="F89" s="566"/>
      <c r="G89" s="567"/>
      <c r="H89" s="568"/>
      <c r="I89" s="558"/>
      <c r="J89" s="559"/>
      <c r="K89" s="560"/>
      <c r="L89" s="560"/>
      <c r="M89" s="560"/>
      <c r="N89" s="561"/>
      <c r="O89" s="562"/>
      <c r="P89" s="563"/>
      <c r="Q89" s="564"/>
      <c r="R89" s="565"/>
      <c r="S89" s="112" t="str">
        <f t="shared" si="191"/>
        <v/>
      </c>
      <c r="T89" s="113" t="str">
        <f t="shared" si="192"/>
        <v/>
      </c>
      <c r="U89" s="114">
        <f t="shared" si="193"/>
        <v>0</v>
      </c>
      <c r="V89" s="117" t="str">
        <f t="shared" si="194"/>
        <v/>
      </c>
      <c r="W89" s="234" t="str">
        <f t="shared" si="195"/>
        <v/>
      </c>
      <c r="X89" s="115">
        <f t="shared" si="184"/>
        <v>0</v>
      </c>
      <c r="Y89" s="116" t="str">
        <f t="shared" si="196"/>
        <v/>
      </c>
      <c r="Z89" s="111"/>
      <c r="AA89" s="2"/>
      <c r="AB89" s="2">
        <v>70</v>
      </c>
      <c r="AC89" s="22" t="str">
        <f t="shared" si="185"/>
        <v>-</v>
      </c>
      <c r="AD89" s="22">
        <f t="shared" si="186"/>
        <v>0</v>
      </c>
      <c r="AE89" s="22">
        <f t="shared" si="264"/>
        <v>0</v>
      </c>
      <c r="AF89" s="22"/>
      <c r="AG89" s="21">
        <f t="shared" si="265"/>
        <v>0</v>
      </c>
      <c r="AH89" s="6">
        <f t="shared" si="197"/>
        <v>0</v>
      </c>
      <c r="AI89" s="7">
        <f>IF(SUM(AH89:AH$99)=0,0,F89&gt;0)</f>
        <v>0</v>
      </c>
      <c r="AJ89" s="6">
        <f t="shared" si="198"/>
        <v>0</v>
      </c>
      <c r="AK89" s="7">
        <f>IF(SUM(AH89:AH$99)=0,0,AND(AI89=FALSE,AJ89=0,SUM(AJ89:AJ$99)&gt;0))</f>
        <v>0</v>
      </c>
      <c r="AL89" s="7">
        <f t="shared" si="266"/>
        <v>0</v>
      </c>
      <c r="AM89" s="7">
        <f t="shared" si="199"/>
        <v>0</v>
      </c>
      <c r="AN89" s="9">
        <f t="shared" si="200"/>
        <v>0</v>
      </c>
      <c r="AO89" s="9">
        <f t="shared" si="201"/>
        <v>0</v>
      </c>
      <c r="AP89" s="486">
        <f t="shared" si="202"/>
        <v>0</v>
      </c>
      <c r="AQ89" s="486">
        <f t="shared" si="267"/>
        <v>0</v>
      </c>
      <c r="AR89" s="7">
        <f t="shared" si="203"/>
        <v>0</v>
      </c>
      <c r="AS89" s="7" t="str">
        <f t="shared" si="268"/>
        <v/>
      </c>
      <c r="AT89" s="7">
        <f t="shared" si="204"/>
        <v>0</v>
      </c>
      <c r="AU89" s="485">
        <f t="shared" si="269"/>
        <v>0</v>
      </c>
      <c r="AV89" s="7">
        <f t="shared" si="205"/>
        <v>0</v>
      </c>
      <c r="AW89" s="7">
        <f t="shared" si="206"/>
        <v>0</v>
      </c>
      <c r="AX89" s="7">
        <f t="shared" si="207"/>
        <v>0</v>
      </c>
      <c r="AY89" s="484">
        <f t="shared" si="270"/>
        <v>0</v>
      </c>
      <c r="AZ89" s="7">
        <f t="shared" si="208"/>
        <v>0</v>
      </c>
      <c r="BA89" s="483">
        <f t="shared" si="271"/>
        <v>0</v>
      </c>
      <c r="BB89" s="487" t="str">
        <f t="shared" si="272"/>
        <v/>
      </c>
      <c r="BC89" s="487" t="str">
        <f t="shared" si="273"/>
        <v/>
      </c>
      <c r="BD89" s="7">
        <f t="shared" si="209"/>
        <v>0</v>
      </c>
      <c r="BE89" s="7">
        <f t="shared" si="210"/>
        <v>0</v>
      </c>
      <c r="BF89" s="7">
        <f t="shared" si="211"/>
        <v>0</v>
      </c>
      <c r="BG89" s="8" t="b">
        <f t="shared" si="212"/>
        <v>0</v>
      </c>
      <c r="BH89" s="235" t="str">
        <f t="shared" si="213"/>
        <v/>
      </c>
      <c r="BI89" s="75">
        <f t="shared" si="214"/>
        <v>0</v>
      </c>
      <c r="BJ89" s="15">
        <f t="shared" si="215"/>
        <v>0</v>
      </c>
      <c r="BK89" s="15">
        <f t="shared" si="187"/>
        <v>0</v>
      </c>
      <c r="BL89" s="18">
        <f t="shared" si="216"/>
        <v>0</v>
      </c>
      <c r="BM89" s="78">
        <f t="shared" si="217"/>
        <v>0</v>
      </c>
      <c r="BN89" s="14">
        <f t="shared" si="218"/>
        <v>0</v>
      </c>
      <c r="BO89" s="14">
        <f t="shared" si="219"/>
        <v>0</v>
      </c>
      <c r="BP89" s="15">
        <f t="shared" si="188"/>
        <v>0</v>
      </c>
      <c r="BQ89" s="73">
        <f t="shared" si="220"/>
        <v>0</v>
      </c>
      <c r="BR89" s="13"/>
      <c r="BS89" s="75">
        <f t="shared" si="281"/>
        <v>0</v>
      </c>
      <c r="BT89" s="15">
        <f t="shared" si="282"/>
        <v>0</v>
      </c>
      <c r="BU89" s="15">
        <f t="shared" si="283"/>
        <v>0</v>
      </c>
      <c r="BV89" s="17">
        <f t="shared" si="284"/>
        <v>0</v>
      </c>
      <c r="BW89" s="72">
        <f t="shared" si="221"/>
        <v>0</v>
      </c>
      <c r="BX89" s="14">
        <f t="shared" si="222"/>
        <v>0</v>
      </c>
      <c r="BY89" s="15">
        <f t="shared" si="189"/>
        <v>0</v>
      </c>
      <c r="BZ89" s="14">
        <f t="shared" si="274"/>
        <v>0</v>
      </c>
      <c r="CA89" s="73">
        <f t="shared" si="223"/>
        <v>0</v>
      </c>
      <c r="CB89" s="192" t="e">
        <f t="shared" si="224"/>
        <v>#DIV/0!</v>
      </c>
      <c r="CC89" s="72" t="e">
        <f t="shared" si="225"/>
        <v>#DIV/0!</v>
      </c>
      <c r="CD89" s="14">
        <f t="shared" si="226"/>
        <v>0</v>
      </c>
      <c r="CE89" s="19">
        <f t="shared" si="275"/>
        <v>0</v>
      </c>
      <c r="CF89" s="19">
        <f t="shared" si="227"/>
        <v>0</v>
      </c>
      <c r="CG89" s="20" t="e">
        <f t="shared" si="228"/>
        <v>#DIV/0!</v>
      </c>
      <c r="CH89" s="20" t="e">
        <f t="shared" si="229"/>
        <v>#DIV/0!</v>
      </c>
      <c r="CI89" s="83" t="e">
        <f t="shared" si="190"/>
        <v>#DIV/0!</v>
      </c>
      <c r="CJ89" s="77" t="e">
        <f t="shared" si="230"/>
        <v>#DIV/0!</v>
      </c>
      <c r="CK89" s="2" t="e">
        <f t="shared" si="276"/>
        <v>#DIV/0!</v>
      </c>
      <c r="CL89" s="2" t="str">
        <f t="shared" si="231"/>
        <v/>
      </c>
      <c r="CM89" s="231" t="e">
        <f t="shared" si="277"/>
        <v>#DIV/0!</v>
      </c>
      <c r="CN89" s="233" t="e">
        <f t="shared" si="278"/>
        <v>#DIV/0!</v>
      </c>
      <c r="CO89" s="233">
        <f t="shared" si="279"/>
        <v>0</v>
      </c>
      <c r="CP89" s="2">
        <f t="shared" si="232"/>
        <v>1</v>
      </c>
      <c r="CQ89" s="2">
        <f t="shared" si="233"/>
        <v>1</v>
      </c>
      <c r="CR89" s="2" t="str">
        <f t="shared" si="234"/>
        <v/>
      </c>
      <c r="CS89" s="2">
        <f t="shared" si="235"/>
        <v>0</v>
      </c>
      <c r="CT89" s="191">
        <f t="shared" si="236"/>
        <v>0</v>
      </c>
      <c r="CU89" s="2" t="str">
        <f t="shared" si="237"/>
        <v>OK</v>
      </c>
      <c r="CV89" s="232">
        <f t="shared" si="238"/>
        <v>0.05</v>
      </c>
      <c r="CW89" s="191" t="e">
        <f t="shared" si="239"/>
        <v>#DIV/0!</v>
      </c>
      <c r="CX89" s="191" t="e">
        <f t="shared" si="240"/>
        <v>#DIV/0!</v>
      </c>
      <c r="CY89" s="191" t="e">
        <f t="shared" si="241"/>
        <v>#DIV/0!</v>
      </c>
      <c r="CZ89" s="191" t="e">
        <f t="shared" si="242"/>
        <v>#DIV/0!</v>
      </c>
      <c r="DA89" s="191">
        <f t="shared" si="243"/>
        <v>1</v>
      </c>
      <c r="DB89" s="191">
        <f t="shared" si="244"/>
        <v>0</v>
      </c>
      <c r="DC89" s="2" t="str">
        <f t="shared" si="245"/>
        <v>Soft</v>
      </c>
      <c r="DD89" s="2"/>
      <c r="DE89" s="2">
        <f t="shared" si="246"/>
        <v>0</v>
      </c>
      <c r="DF89" s="191" t="e">
        <f t="shared" si="247"/>
        <v>#DIV/0!</v>
      </c>
      <c r="DG89" s="191" t="e">
        <f t="shared" si="248"/>
        <v>#DIV/0!</v>
      </c>
      <c r="DH89" s="191" t="e">
        <f t="shared" si="249"/>
        <v>#DIV/0!</v>
      </c>
      <c r="DI89" s="191" t="e">
        <f t="shared" si="250"/>
        <v>#DIV/0!</v>
      </c>
      <c r="DJ89" s="191" t="e">
        <f t="shared" si="280"/>
        <v>#DIV/0!</v>
      </c>
      <c r="DK89" s="2"/>
      <c r="DL89" s="2"/>
      <c r="DM89" s="2"/>
      <c r="DN89" s="2">
        <f t="shared" si="251"/>
        <v>1</v>
      </c>
      <c r="DO89" s="191" t="e">
        <f t="shared" si="252"/>
        <v>#DIV/0!</v>
      </c>
      <c r="DP89" s="191" t="e">
        <f t="shared" si="253"/>
        <v>#DIV/0!</v>
      </c>
      <c r="DQ89" s="191" t="e">
        <f t="shared" si="254"/>
        <v>#DIV/0!</v>
      </c>
      <c r="DR89" s="191" t="e">
        <f t="shared" si="255"/>
        <v>#DIV/0!</v>
      </c>
      <c r="DS89" s="191" t="e">
        <f t="shared" si="256"/>
        <v>#DIV/0!</v>
      </c>
      <c r="DT89" s="191" t="e">
        <f t="shared" si="257"/>
        <v>#DIV/0!</v>
      </c>
      <c r="DU89" s="191">
        <f t="shared" si="258"/>
        <v>0</v>
      </c>
      <c r="DV89" s="2"/>
      <c r="DW89" s="2" t="b">
        <f t="shared" si="259"/>
        <v>1</v>
      </c>
      <c r="DX89" s="2" t="b">
        <f t="shared" si="260"/>
        <v>1</v>
      </c>
      <c r="DY89" s="2" t="b">
        <f t="shared" si="261"/>
        <v>1</v>
      </c>
      <c r="DZ89" s="2" t="b">
        <f t="shared" si="262"/>
        <v>1</v>
      </c>
      <c r="EA89" s="2" t="b">
        <f t="shared" si="263"/>
        <v>1</v>
      </c>
      <c r="EB89"/>
    </row>
    <row r="90" spans="1:132" s="108" customFormat="1" ht="18.5" hidden="1" thickBot="1" x14ac:dyDescent="0.45">
      <c r="A90" s="109"/>
      <c r="B90" s="88" t="str">
        <f t="shared" si="80"/>
        <v>-</v>
      </c>
      <c r="C90" s="118">
        <v>71</v>
      </c>
      <c r="D90" s="794"/>
      <c r="E90" s="795"/>
      <c r="F90" s="566"/>
      <c r="G90" s="567"/>
      <c r="H90" s="568"/>
      <c r="I90" s="558"/>
      <c r="J90" s="559"/>
      <c r="K90" s="560"/>
      <c r="L90" s="560"/>
      <c r="M90" s="560"/>
      <c r="N90" s="561"/>
      <c r="O90" s="562"/>
      <c r="P90" s="563"/>
      <c r="Q90" s="564"/>
      <c r="R90" s="565"/>
      <c r="S90" s="112" t="str">
        <f t="shared" si="191"/>
        <v/>
      </c>
      <c r="T90" s="113" t="str">
        <f t="shared" si="192"/>
        <v/>
      </c>
      <c r="U90" s="114">
        <f t="shared" si="193"/>
        <v>0</v>
      </c>
      <c r="V90" s="117" t="str">
        <f t="shared" si="194"/>
        <v/>
      </c>
      <c r="W90" s="234" t="str">
        <f t="shared" si="195"/>
        <v/>
      </c>
      <c r="X90" s="115">
        <f t="shared" si="184"/>
        <v>0</v>
      </c>
      <c r="Y90" s="116" t="str">
        <f t="shared" si="196"/>
        <v/>
      </c>
      <c r="Z90" s="111"/>
      <c r="AA90" s="2"/>
      <c r="AB90" s="2">
        <v>71</v>
      </c>
      <c r="AC90" s="22" t="str">
        <f t="shared" si="185"/>
        <v>-</v>
      </c>
      <c r="AD90" s="22">
        <f t="shared" si="186"/>
        <v>0</v>
      </c>
      <c r="AE90" s="22">
        <f t="shared" si="264"/>
        <v>0</v>
      </c>
      <c r="AF90" s="22"/>
      <c r="AG90" s="21">
        <f t="shared" si="265"/>
        <v>0</v>
      </c>
      <c r="AH90" s="6">
        <f t="shared" si="197"/>
        <v>0</v>
      </c>
      <c r="AI90" s="7">
        <f>IF(SUM(AH90:AH$99)=0,0,F90&gt;0)</f>
        <v>0</v>
      </c>
      <c r="AJ90" s="6">
        <f t="shared" si="198"/>
        <v>0</v>
      </c>
      <c r="AK90" s="7">
        <f>IF(SUM(AH90:AH$99)=0,0,AND(AI90=FALSE,AJ90=0,SUM(AJ90:AJ$99)&gt;0))</f>
        <v>0</v>
      </c>
      <c r="AL90" s="7">
        <f t="shared" si="266"/>
        <v>0</v>
      </c>
      <c r="AM90" s="7">
        <f t="shared" si="199"/>
        <v>0</v>
      </c>
      <c r="AN90" s="9">
        <f t="shared" si="200"/>
        <v>0</v>
      </c>
      <c r="AO90" s="9">
        <f t="shared" si="201"/>
        <v>0</v>
      </c>
      <c r="AP90" s="486">
        <f t="shared" si="202"/>
        <v>0</v>
      </c>
      <c r="AQ90" s="486">
        <f t="shared" si="267"/>
        <v>0</v>
      </c>
      <c r="AR90" s="7">
        <f t="shared" si="203"/>
        <v>0</v>
      </c>
      <c r="AS90" s="7" t="str">
        <f t="shared" si="268"/>
        <v/>
      </c>
      <c r="AT90" s="7">
        <f t="shared" si="204"/>
        <v>0</v>
      </c>
      <c r="AU90" s="485">
        <f t="shared" si="269"/>
        <v>0</v>
      </c>
      <c r="AV90" s="7">
        <f t="shared" si="205"/>
        <v>0</v>
      </c>
      <c r="AW90" s="7">
        <f t="shared" si="206"/>
        <v>0</v>
      </c>
      <c r="AX90" s="7">
        <f t="shared" si="207"/>
        <v>0</v>
      </c>
      <c r="AY90" s="484">
        <f t="shared" si="270"/>
        <v>0</v>
      </c>
      <c r="AZ90" s="7">
        <f t="shared" si="208"/>
        <v>0</v>
      </c>
      <c r="BA90" s="483">
        <f t="shared" si="271"/>
        <v>0</v>
      </c>
      <c r="BB90" s="487" t="str">
        <f t="shared" si="272"/>
        <v/>
      </c>
      <c r="BC90" s="487" t="str">
        <f t="shared" si="273"/>
        <v/>
      </c>
      <c r="BD90" s="7">
        <f t="shared" si="209"/>
        <v>0</v>
      </c>
      <c r="BE90" s="7">
        <f t="shared" si="210"/>
        <v>0</v>
      </c>
      <c r="BF90" s="7">
        <f t="shared" si="211"/>
        <v>0</v>
      </c>
      <c r="BG90" s="8" t="b">
        <f t="shared" si="212"/>
        <v>0</v>
      </c>
      <c r="BH90" s="235" t="str">
        <f t="shared" si="213"/>
        <v/>
      </c>
      <c r="BI90" s="75">
        <f t="shared" si="214"/>
        <v>0</v>
      </c>
      <c r="BJ90" s="15">
        <f t="shared" si="215"/>
        <v>0</v>
      </c>
      <c r="BK90" s="15">
        <f t="shared" si="187"/>
        <v>0</v>
      </c>
      <c r="BL90" s="18">
        <f t="shared" si="216"/>
        <v>0</v>
      </c>
      <c r="BM90" s="78">
        <f t="shared" si="217"/>
        <v>0</v>
      </c>
      <c r="BN90" s="14">
        <f t="shared" si="218"/>
        <v>0</v>
      </c>
      <c r="BO90" s="14">
        <f t="shared" si="219"/>
        <v>0</v>
      </c>
      <c r="BP90" s="15">
        <f t="shared" si="188"/>
        <v>0</v>
      </c>
      <c r="BQ90" s="73">
        <f t="shared" si="220"/>
        <v>0</v>
      </c>
      <c r="BR90" s="13"/>
      <c r="BS90" s="75">
        <f t="shared" si="281"/>
        <v>0</v>
      </c>
      <c r="BT90" s="15">
        <f t="shared" si="282"/>
        <v>0</v>
      </c>
      <c r="BU90" s="15">
        <f t="shared" si="283"/>
        <v>0</v>
      </c>
      <c r="BV90" s="17">
        <f t="shared" si="284"/>
        <v>0</v>
      </c>
      <c r="BW90" s="72">
        <f t="shared" si="221"/>
        <v>0</v>
      </c>
      <c r="BX90" s="14">
        <f t="shared" si="222"/>
        <v>0</v>
      </c>
      <c r="BY90" s="15">
        <f t="shared" si="189"/>
        <v>0</v>
      </c>
      <c r="BZ90" s="14">
        <f t="shared" si="274"/>
        <v>0</v>
      </c>
      <c r="CA90" s="73">
        <f t="shared" si="223"/>
        <v>0</v>
      </c>
      <c r="CB90" s="192" t="e">
        <f t="shared" si="224"/>
        <v>#DIV/0!</v>
      </c>
      <c r="CC90" s="72" t="e">
        <f t="shared" si="225"/>
        <v>#DIV/0!</v>
      </c>
      <c r="CD90" s="14">
        <f t="shared" si="226"/>
        <v>0</v>
      </c>
      <c r="CE90" s="19">
        <f t="shared" si="275"/>
        <v>0</v>
      </c>
      <c r="CF90" s="19">
        <f t="shared" si="227"/>
        <v>0</v>
      </c>
      <c r="CG90" s="20" t="e">
        <f t="shared" si="228"/>
        <v>#DIV/0!</v>
      </c>
      <c r="CH90" s="20" t="e">
        <f t="shared" si="229"/>
        <v>#DIV/0!</v>
      </c>
      <c r="CI90" s="83" t="e">
        <f t="shared" si="190"/>
        <v>#DIV/0!</v>
      </c>
      <c r="CJ90" s="77" t="e">
        <f t="shared" si="230"/>
        <v>#DIV/0!</v>
      </c>
      <c r="CK90" s="2" t="e">
        <f t="shared" si="276"/>
        <v>#DIV/0!</v>
      </c>
      <c r="CL90" s="2" t="str">
        <f t="shared" si="231"/>
        <v/>
      </c>
      <c r="CM90" s="231" t="e">
        <f t="shared" si="277"/>
        <v>#DIV/0!</v>
      </c>
      <c r="CN90" s="233" t="e">
        <f t="shared" si="278"/>
        <v>#DIV/0!</v>
      </c>
      <c r="CO90" s="233">
        <f t="shared" si="279"/>
        <v>0</v>
      </c>
      <c r="CP90" s="2">
        <f t="shared" si="232"/>
        <v>1</v>
      </c>
      <c r="CQ90" s="2">
        <f t="shared" si="233"/>
        <v>1</v>
      </c>
      <c r="CR90" s="2" t="str">
        <f t="shared" si="234"/>
        <v/>
      </c>
      <c r="CS90" s="2">
        <f t="shared" si="235"/>
        <v>0</v>
      </c>
      <c r="CT90" s="191">
        <f t="shared" si="236"/>
        <v>0</v>
      </c>
      <c r="CU90" s="2" t="str">
        <f t="shared" si="237"/>
        <v>OK</v>
      </c>
      <c r="CV90" s="232">
        <f t="shared" si="238"/>
        <v>0.05</v>
      </c>
      <c r="CW90" s="191" t="e">
        <f t="shared" si="239"/>
        <v>#DIV/0!</v>
      </c>
      <c r="CX90" s="191" t="e">
        <f t="shared" si="240"/>
        <v>#DIV/0!</v>
      </c>
      <c r="CY90" s="191" t="e">
        <f t="shared" si="241"/>
        <v>#DIV/0!</v>
      </c>
      <c r="CZ90" s="191" t="e">
        <f t="shared" si="242"/>
        <v>#DIV/0!</v>
      </c>
      <c r="DA90" s="191">
        <f t="shared" si="243"/>
        <v>1</v>
      </c>
      <c r="DB90" s="191">
        <f t="shared" si="244"/>
        <v>0</v>
      </c>
      <c r="DC90" s="2" t="str">
        <f t="shared" si="245"/>
        <v>Soft</v>
      </c>
      <c r="DD90" s="2"/>
      <c r="DE90" s="2">
        <f t="shared" si="246"/>
        <v>0</v>
      </c>
      <c r="DF90" s="191" t="e">
        <f t="shared" si="247"/>
        <v>#DIV/0!</v>
      </c>
      <c r="DG90" s="191" t="e">
        <f t="shared" si="248"/>
        <v>#DIV/0!</v>
      </c>
      <c r="DH90" s="191" t="e">
        <f t="shared" si="249"/>
        <v>#DIV/0!</v>
      </c>
      <c r="DI90" s="191" t="e">
        <f t="shared" si="250"/>
        <v>#DIV/0!</v>
      </c>
      <c r="DJ90" s="191" t="e">
        <f t="shared" si="280"/>
        <v>#DIV/0!</v>
      </c>
      <c r="DK90" s="2"/>
      <c r="DL90" s="2"/>
      <c r="DM90" s="2"/>
      <c r="DN90" s="2">
        <f t="shared" si="251"/>
        <v>1</v>
      </c>
      <c r="DO90" s="191" t="e">
        <f t="shared" si="252"/>
        <v>#DIV/0!</v>
      </c>
      <c r="DP90" s="191" t="e">
        <f t="shared" si="253"/>
        <v>#DIV/0!</v>
      </c>
      <c r="DQ90" s="191" t="e">
        <f t="shared" si="254"/>
        <v>#DIV/0!</v>
      </c>
      <c r="DR90" s="191" t="e">
        <f t="shared" si="255"/>
        <v>#DIV/0!</v>
      </c>
      <c r="DS90" s="191" t="e">
        <f t="shared" si="256"/>
        <v>#DIV/0!</v>
      </c>
      <c r="DT90" s="191" t="e">
        <f t="shared" si="257"/>
        <v>#DIV/0!</v>
      </c>
      <c r="DU90" s="191">
        <f t="shared" si="258"/>
        <v>0</v>
      </c>
      <c r="DV90" s="2"/>
      <c r="DW90" s="2" t="b">
        <f t="shared" si="259"/>
        <v>1</v>
      </c>
      <c r="DX90" s="2" t="b">
        <f t="shared" si="260"/>
        <v>1</v>
      </c>
      <c r="DY90" s="2" t="b">
        <f t="shared" si="261"/>
        <v>1</v>
      </c>
      <c r="DZ90" s="2" t="b">
        <f t="shared" si="262"/>
        <v>1</v>
      </c>
      <c r="EA90" s="2" t="b">
        <f t="shared" si="263"/>
        <v>1</v>
      </c>
      <c r="EB90"/>
    </row>
    <row r="91" spans="1:132" s="108" customFormat="1" ht="18.5" hidden="1" thickBot="1" x14ac:dyDescent="0.45">
      <c r="A91" s="109"/>
      <c r="B91" s="88" t="str">
        <f t="shared" si="80"/>
        <v>-</v>
      </c>
      <c r="C91" s="118">
        <v>72</v>
      </c>
      <c r="D91" s="794"/>
      <c r="E91" s="795"/>
      <c r="F91" s="566"/>
      <c r="G91" s="567"/>
      <c r="H91" s="568"/>
      <c r="I91" s="558"/>
      <c r="J91" s="559"/>
      <c r="K91" s="560"/>
      <c r="L91" s="560"/>
      <c r="M91" s="560"/>
      <c r="N91" s="561"/>
      <c r="O91" s="562"/>
      <c r="P91" s="563"/>
      <c r="Q91" s="564"/>
      <c r="R91" s="565"/>
      <c r="S91" s="112" t="str">
        <f t="shared" si="191"/>
        <v/>
      </c>
      <c r="T91" s="113" t="str">
        <f t="shared" si="192"/>
        <v/>
      </c>
      <c r="U91" s="114">
        <f t="shared" si="193"/>
        <v>0</v>
      </c>
      <c r="V91" s="117" t="str">
        <f t="shared" si="194"/>
        <v/>
      </c>
      <c r="W91" s="234" t="str">
        <f t="shared" si="195"/>
        <v/>
      </c>
      <c r="X91" s="115">
        <f t="shared" si="184"/>
        <v>0</v>
      </c>
      <c r="Y91" s="116" t="str">
        <f t="shared" si="196"/>
        <v/>
      </c>
      <c r="Z91" s="111"/>
      <c r="AA91" s="2"/>
      <c r="AB91" s="2">
        <v>72</v>
      </c>
      <c r="AC91" s="22" t="str">
        <f t="shared" si="185"/>
        <v>-</v>
      </c>
      <c r="AD91" s="22">
        <f t="shared" si="186"/>
        <v>0</v>
      </c>
      <c r="AE91" s="22">
        <f t="shared" si="264"/>
        <v>0</v>
      </c>
      <c r="AF91" s="22"/>
      <c r="AG91" s="21">
        <f t="shared" si="265"/>
        <v>0</v>
      </c>
      <c r="AH91" s="6">
        <f t="shared" si="197"/>
        <v>0</v>
      </c>
      <c r="AI91" s="7">
        <f>IF(SUM(AH91:AH$99)=0,0,F91&gt;0)</f>
        <v>0</v>
      </c>
      <c r="AJ91" s="6">
        <f t="shared" si="198"/>
        <v>0</v>
      </c>
      <c r="AK91" s="7">
        <f>IF(SUM(AH91:AH$99)=0,0,AND(AI91=FALSE,AJ91=0,SUM(AJ91:AJ$99)&gt;0))</f>
        <v>0</v>
      </c>
      <c r="AL91" s="7">
        <f t="shared" si="266"/>
        <v>0</v>
      </c>
      <c r="AM91" s="7">
        <f t="shared" si="199"/>
        <v>0</v>
      </c>
      <c r="AN91" s="9">
        <f t="shared" si="200"/>
        <v>0</v>
      </c>
      <c r="AO91" s="9">
        <f t="shared" si="201"/>
        <v>0</v>
      </c>
      <c r="AP91" s="486">
        <f t="shared" si="202"/>
        <v>0</v>
      </c>
      <c r="AQ91" s="486">
        <f t="shared" si="267"/>
        <v>0</v>
      </c>
      <c r="AR91" s="7">
        <f t="shared" si="203"/>
        <v>0</v>
      </c>
      <c r="AS91" s="7" t="str">
        <f t="shared" si="268"/>
        <v/>
      </c>
      <c r="AT91" s="7">
        <f t="shared" si="204"/>
        <v>0</v>
      </c>
      <c r="AU91" s="485">
        <f t="shared" si="269"/>
        <v>0</v>
      </c>
      <c r="AV91" s="7">
        <f t="shared" si="205"/>
        <v>0</v>
      </c>
      <c r="AW91" s="7">
        <f t="shared" si="206"/>
        <v>0</v>
      </c>
      <c r="AX91" s="7">
        <f t="shared" si="207"/>
        <v>0</v>
      </c>
      <c r="AY91" s="484">
        <f t="shared" si="270"/>
        <v>0</v>
      </c>
      <c r="AZ91" s="7">
        <f t="shared" si="208"/>
        <v>0</v>
      </c>
      <c r="BA91" s="483">
        <f t="shared" si="271"/>
        <v>0</v>
      </c>
      <c r="BB91" s="487" t="str">
        <f t="shared" si="272"/>
        <v/>
      </c>
      <c r="BC91" s="487" t="str">
        <f t="shared" si="273"/>
        <v/>
      </c>
      <c r="BD91" s="7">
        <f t="shared" si="209"/>
        <v>0</v>
      </c>
      <c r="BE91" s="7">
        <f t="shared" si="210"/>
        <v>0</v>
      </c>
      <c r="BF91" s="7">
        <f t="shared" si="211"/>
        <v>0</v>
      </c>
      <c r="BG91" s="8" t="b">
        <f t="shared" si="212"/>
        <v>0</v>
      </c>
      <c r="BH91" s="235" t="str">
        <f t="shared" si="213"/>
        <v/>
      </c>
      <c r="BI91" s="75">
        <f t="shared" si="214"/>
        <v>0</v>
      </c>
      <c r="BJ91" s="15">
        <f t="shared" si="215"/>
        <v>0</v>
      </c>
      <c r="BK91" s="15">
        <f t="shared" si="187"/>
        <v>0</v>
      </c>
      <c r="BL91" s="18">
        <f t="shared" si="216"/>
        <v>0</v>
      </c>
      <c r="BM91" s="78">
        <f t="shared" si="217"/>
        <v>0</v>
      </c>
      <c r="BN91" s="14">
        <f t="shared" si="218"/>
        <v>0</v>
      </c>
      <c r="BO91" s="14">
        <f t="shared" si="219"/>
        <v>0</v>
      </c>
      <c r="BP91" s="15">
        <f t="shared" si="188"/>
        <v>0</v>
      </c>
      <c r="BQ91" s="73">
        <f t="shared" si="220"/>
        <v>0</v>
      </c>
      <c r="BR91" s="13"/>
      <c r="BS91" s="75">
        <f t="shared" si="281"/>
        <v>0</v>
      </c>
      <c r="BT91" s="15">
        <f t="shared" si="282"/>
        <v>0</v>
      </c>
      <c r="BU91" s="15">
        <f t="shared" si="283"/>
        <v>0</v>
      </c>
      <c r="BV91" s="17">
        <f t="shared" si="284"/>
        <v>0</v>
      </c>
      <c r="BW91" s="72">
        <f t="shared" si="221"/>
        <v>0</v>
      </c>
      <c r="BX91" s="14">
        <f t="shared" si="222"/>
        <v>0</v>
      </c>
      <c r="BY91" s="15">
        <f t="shared" si="189"/>
        <v>0</v>
      </c>
      <c r="BZ91" s="14">
        <f t="shared" si="274"/>
        <v>0</v>
      </c>
      <c r="CA91" s="73">
        <f t="shared" si="223"/>
        <v>0</v>
      </c>
      <c r="CB91" s="192" t="e">
        <f t="shared" si="224"/>
        <v>#DIV/0!</v>
      </c>
      <c r="CC91" s="72" t="e">
        <f t="shared" si="225"/>
        <v>#DIV/0!</v>
      </c>
      <c r="CD91" s="14">
        <f t="shared" si="226"/>
        <v>0</v>
      </c>
      <c r="CE91" s="19">
        <f t="shared" si="275"/>
        <v>0</v>
      </c>
      <c r="CF91" s="19">
        <f t="shared" si="227"/>
        <v>0</v>
      </c>
      <c r="CG91" s="20" t="e">
        <f t="shared" si="228"/>
        <v>#DIV/0!</v>
      </c>
      <c r="CH91" s="20" t="e">
        <f t="shared" si="229"/>
        <v>#DIV/0!</v>
      </c>
      <c r="CI91" s="83" t="e">
        <f t="shared" si="190"/>
        <v>#DIV/0!</v>
      </c>
      <c r="CJ91" s="77" t="e">
        <f t="shared" si="230"/>
        <v>#DIV/0!</v>
      </c>
      <c r="CK91" s="2" t="e">
        <f t="shared" si="276"/>
        <v>#DIV/0!</v>
      </c>
      <c r="CL91" s="2" t="str">
        <f t="shared" si="231"/>
        <v/>
      </c>
      <c r="CM91" s="231" t="e">
        <f t="shared" si="277"/>
        <v>#DIV/0!</v>
      </c>
      <c r="CN91" s="233" t="e">
        <f t="shared" si="278"/>
        <v>#DIV/0!</v>
      </c>
      <c r="CO91" s="233">
        <f t="shared" si="279"/>
        <v>0</v>
      </c>
      <c r="CP91" s="2">
        <f t="shared" si="232"/>
        <v>1</v>
      </c>
      <c r="CQ91" s="2">
        <f t="shared" si="233"/>
        <v>1</v>
      </c>
      <c r="CR91" s="2" t="str">
        <f t="shared" si="234"/>
        <v/>
      </c>
      <c r="CS91" s="2">
        <f t="shared" si="235"/>
        <v>0</v>
      </c>
      <c r="CT91" s="191">
        <f t="shared" si="236"/>
        <v>0</v>
      </c>
      <c r="CU91" s="2" t="str">
        <f t="shared" si="237"/>
        <v>OK</v>
      </c>
      <c r="CV91" s="232">
        <f t="shared" si="238"/>
        <v>0.05</v>
      </c>
      <c r="CW91" s="191" t="e">
        <f t="shared" si="239"/>
        <v>#DIV/0!</v>
      </c>
      <c r="CX91" s="191" t="e">
        <f t="shared" si="240"/>
        <v>#DIV/0!</v>
      </c>
      <c r="CY91" s="191" t="e">
        <f t="shared" si="241"/>
        <v>#DIV/0!</v>
      </c>
      <c r="CZ91" s="191" t="e">
        <f t="shared" si="242"/>
        <v>#DIV/0!</v>
      </c>
      <c r="DA91" s="191">
        <f t="shared" si="243"/>
        <v>1</v>
      </c>
      <c r="DB91" s="191">
        <f t="shared" si="244"/>
        <v>0</v>
      </c>
      <c r="DC91" s="2" t="str">
        <f t="shared" si="245"/>
        <v>Soft</v>
      </c>
      <c r="DD91" s="2"/>
      <c r="DE91" s="2">
        <f t="shared" si="246"/>
        <v>0</v>
      </c>
      <c r="DF91" s="191" t="e">
        <f t="shared" si="247"/>
        <v>#DIV/0!</v>
      </c>
      <c r="DG91" s="191" t="e">
        <f t="shared" si="248"/>
        <v>#DIV/0!</v>
      </c>
      <c r="DH91" s="191" t="e">
        <f t="shared" si="249"/>
        <v>#DIV/0!</v>
      </c>
      <c r="DI91" s="191" t="e">
        <f t="shared" si="250"/>
        <v>#DIV/0!</v>
      </c>
      <c r="DJ91" s="191" t="e">
        <f t="shared" si="280"/>
        <v>#DIV/0!</v>
      </c>
      <c r="DK91" s="2"/>
      <c r="DL91" s="2"/>
      <c r="DM91" s="2"/>
      <c r="DN91" s="2">
        <f t="shared" si="251"/>
        <v>1</v>
      </c>
      <c r="DO91" s="191" t="e">
        <f t="shared" si="252"/>
        <v>#DIV/0!</v>
      </c>
      <c r="DP91" s="191" t="e">
        <f t="shared" si="253"/>
        <v>#DIV/0!</v>
      </c>
      <c r="DQ91" s="191" t="e">
        <f t="shared" si="254"/>
        <v>#DIV/0!</v>
      </c>
      <c r="DR91" s="191" t="e">
        <f t="shared" si="255"/>
        <v>#DIV/0!</v>
      </c>
      <c r="DS91" s="191" t="e">
        <f t="shared" si="256"/>
        <v>#DIV/0!</v>
      </c>
      <c r="DT91" s="191" t="e">
        <f t="shared" si="257"/>
        <v>#DIV/0!</v>
      </c>
      <c r="DU91" s="191">
        <f t="shared" si="258"/>
        <v>0</v>
      </c>
      <c r="DV91" s="2"/>
      <c r="DW91" s="2" t="b">
        <f t="shared" si="259"/>
        <v>1</v>
      </c>
      <c r="DX91" s="2" t="b">
        <f t="shared" si="260"/>
        <v>1</v>
      </c>
      <c r="DY91" s="2" t="b">
        <f t="shared" si="261"/>
        <v>1</v>
      </c>
      <c r="DZ91" s="2" t="b">
        <f t="shared" si="262"/>
        <v>1</v>
      </c>
      <c r="EA91" s="2" t="b">
        <f t="shared" si="263"/>
        <v>1</v>
      </c>
      <c r="EB91"/>
    </row>
    <row r="92" spans="1:132" s="108" customFormat="1" ht="18.5" hidden="1" thickBot="1" x14ac:dyDescent="0.45">
      <c r="A92" s="109"/>
      <c r="B92" s="88" t="str">
        <f t="shared" si="80"/>
        <v>-</v>
      </c>
      <c r="C92" s="118">
        <v>73</v>
      </c>
      <c r="D92" s="794"/>
      <c r="E92" s="795"/>
      <c r="F92" s="566"/>
      <c r="G92" s="567"/>
      <c r="H92" s="568"/>
      <c r="I92" s="558"/>
      <c r="J92" s="559"/>
      <c r="K92" s="560"/>
      <c r="L92" s="560"/>
      <c r="M92" s="560"/>
      <c r="N92" s="561"/>
      <c r="O92" s="562"/>
      <c r="P92" s="563"/>
      <c r="Q92" s="564"/>
      <c r="R92" s="565"/>
      <c r="S92" s="112" t="str">
        <f t="shared" si="191"/>
        <v/>
      </c>
      <c r="T92" s="113" t="str">
        <f t="shared" si="192"/>
        <v/>
      </c>
      <c r="U92" s="114">
        <f t="shared" si="193"/>
        <v>0</v>
      </c>
      <c r="V92" s="117" t="str">
        <f t="shared" si="194"/>
        <v/>
      </c>
      <c r="W92" s="234" t="str">
        <f t="shared" si="195"/>
        <v/>
      </c>
      <c r="X92" s="115">
        <f t="shared" si="184"/>
        <v>0</v>
      </c>
      <c r="Y92" s="116" t="str">
        <f t="shared" si="196"/>
        <v/>
      </c>
      <c r="Z92" s="111"/>
      <c r="AA92" s="2"/>
      <c r="AB92" s="2">
        <v>73</v>
      </c>
      <c r="AC92" s="22" t="str">
        <f t="shared" si="185"/>
        <v>-</v>
      </c>
      <c r="AD92" s="22">
        <f t="shared" si="186"/>
        <v>0</v>
      </c>
      <c r="AE92" s="22">
        <f t="shared" si="264"/>
        <v>0</v>
      </c>
      <c r="AF92" s="22"/>
      <c r="AG92" s="21">
        <f t="shared" si="265"/>
        <v>0</v>
      </c>
      <c r="AH92" s="6">
        <f t="shared" si="197"/>
        <v>0</v>
      </c>
      <c r="AI92" s="7">
        <f>IF(SUM(AH92:AH$99)=0,0,F92&gt;0)</f>
        <v>0</v>
      </c>
      <c r="AJ92" s="6">
        <f t="shared" si="198"/>
        <v>0</v>
      </c>
      <c r="AK92" s="7">
        <f>IF(SUM(AH92:AH$99)=0,0,AND(AI92=FALSE,AJ92=0,SUM(AJ92:AJ$99)&gt;0))</f>
        <v>0</v>
      </c>
      <c r="AL92" s="7">
        <f t="shared" si="266"/>
        <v>0</v>
      </c>
      <c r="AM92" s="7">
        <f t="shared" si="199"/>
        <v>0</v>
      </c>
      <c r="AN92" s="9">
        <f t="shared" si="200"/>
        <v>0</v>
      </c>
      <c r="AO92" s="9">
        <f t="shared" si="201"/>
        <v>0</v>
      </c>
      <c r="AP92" s="486">
        <f t="shared" si="202"/>
        <v>0</v>
      </c>
      <c r="AQ92" s="486">
        <f t="shared" si="267"/>
        <v>0</v>
      </c>
      <c r="AR92" s="7">
        <f t="shared" si="203"/>
        <v>0</v>
      </c>
      <c r="AS92" s="7" t="str">
        <f t="shared" si="268"/>
        <v/>
      </c>
      <c r="AT92" s="7">
        <f t="shared" si="204"/>
        <v>0</v>
      </c>
      <c r="AU92" s="485">
        <f t="shared" si="269"/>
        <v>0</v>
      </c>
      <c r="AV92" s="7">
        <f t="shared" si="205"/>
        <v>0</v>
      </c>
      <c r="AW92" s="7">
        <f t="shared" si="206"/>
        <v>0</v>
      </c>
      <c r="AX92" s="7">
        <f t="shared" si="207"/>
        <v>0</v>
      </c>
      <c r="AY92" s="484">
        <f t="shared" si="270"/>
        <v>0</v>
      </c>
      <c r="AZ92" s="7">
        <f t="shared" si="208"/>
        <v>0</v>
      </c>
      <c r="BA92" s="483">
        <f t="shared" si="271"/>
        <v>0</v>
      </c>
      <c r="BB92" s="487" t="str">
        <f t="shared" si="272"/>
        <v/>
      </c>
      <c r="BC92" s="487" t="str">
        <f t="shared" si="273"/>
        <v/>
      </c>
      <c r="BD92" s="7">
        <f t="shared" si="209"/>
        <v>0</v>
      </c>
      <c r="BE92" s="7">
        <f t="shared" si="210"/>
        <v>0</v>
      </c>
      <c r="BF92" s="7">
        <f t="shared" si="211"/>
        <v>0</v>
      </c>
      <c r="BG92" s="8" t="b">
        <f t="shared" si="212"/>
        <v>0</v>
      </c>
      <c r="BH92" s="235" t="str">
        <f t="shared" si="213"/>
        <v/>
      </c>
      <c r="BI92" s="75">
        <f t="shared" si="214"/>
        <v>0</v>
      </c>
      <c r="BJ92" s="15">
        <f t="shared" si="215"/>
        <v>0</v>
      </c>
      <c r="BK92" s="15">
        <f t="shared" si="187"/>
        <v>0</v>
      </c>
      <c r="BL92" s="18">
        <f t="shared" si="216"/>
        <v>0</v>
      </c>
      <c r="BM92" s="78">
        <f t="shared" si="217"/>
        <v>0</v>
      </c>
      <c r="BN92" s="14">
        <f t="shared" si="218"/>
        <v>0</v>
      </c>
      <c r="BO92" s="14">
        <f t="shared" si="219"/>
        <v>0</v>
      </c>
      <c r="BP92" s="15">
        <f t="shared" si="188"/>
        <v>0</v>
      </c>
      <c r="BQ92" s="73">
        <f t="shared" si="220"/>
        <v>0</v>
      </c>
      <c r="BR92" s="13"/>
      <c r="BS92" s="75">
        <f t="shared" si="281"/>
        <v>0</v>
      </c>
      <c r="BT92" s="15">
        <f t="shared" si="282"/>
        <v>0</v>
      </c>
      <c r="BU92" s="15">
        <f t="shared" si="283"/>
        <v>0</v>
      </c>
      <c r="BV92" s="17">
        <f t="shared" si="284"/>
        <v>0</v>
      </c>
      <c r="BW92" s="72">
        <f t="shared" si="221"/>
        <v>0</v>
      </c>
      <c r="BX92" s="14">
        <f t="shared" si="222"/>
        <v>0</v>
      </c>
      <c r="BY92" s="15">
        <f t="shared" si="189"/>
        <v>0</v>
      </c>
      <c r="BZ92" s="14">
        <f t="shared" si="274"/>
        <v>0</v>
      </c>
      <c r="CA92" s="73">
        <f t="shared" si="223"/>
        <v>0</v>
      </c>
      <c r="CB92" s="192" t="e">
        <f t="shared" si="224"/>
        <v>#DIV/0!</v>
      </c>
      <c r="CC92" s="72" t="e">
        <f t="shared" si="225"/>
        <v>#DIV/0!</v>
      </c>
      <c r="CD92" s="14">
        <f t="shared" si="226"/>
        <v>0</v>
      </c>
      <c r="CE92" s="19">
        <f t="shared" si="275"/>
        <v>0</v>
      </c>
      <c r="CF92" s="19">
        <f t="shared" si="227"/>
        <v>0</v>
      </c>
      <c r="CG92" s="20" t="e">
        <f t="shared" si="228"/>
        <v>#DIV/0!</v>
      </c>
      <c r="CH92" s="20" t="e">
        <f t="shared" si="229"/>
        <v>#DIV/0!</v>
      </c>
      <c r="CI92" s="83" t="e">
        <f t="shared" si="190"/>
        <v>#DIV/0!</v>
      </c>
      <c r="CJ92" s="77" t="e">
        <f t="shared" si="230"/>
        <v>#DIV/0!</v>
      </c>
      <c r="CK92" s="2" t="e">
        <f t="shared" si="276"/>
        <v>#DIV/0!</v>
      </c>
      <c r="CL92" s="2" t="str">
        <f t="shared" si="231"/>
        <v/>
      </c>
      <c r="CM92" s="231" t="e">
        <f t="shared" si="277"/>
        <v>#DIV/0!</v>
      </c>
      <c r="CN92" s="233" t="e">
        <f t="shared" si="278"/>
        <v>#DIV/0!</v>
      </c>
      <c r="CO92" s="233">
        <f t="shared" si="279"/>
        <v>0</v>
      </c>
      <c r="CP92" s="2">
        <f t="shared" si="232"/>
        <v>1</v>
      </c>
      <c r="CQ92" s="2">
        <f t="shared" si="233"/>
        <v>1</v>
      </c>
      <c r="CR92" s="2" t="str">
        <f t="shared" si="234"/>
        <v/>
      </c>
      <c r="CS92" s="2">
        <f t="shared" si="235"/>
        <v>0</v>
      </c>
      <c r="CT92" s="191">
        <f t="shared" si="236"/>
        <v>0</v>
      </c>
      <c r="CU92" s="2" t="str">
        <f t="shared" si="237"/>
        <v>OK</v>
      </c>
      <c r="CV92" s="232">
        <f t="shared" si="238"/>
        <v>0.05</v>
      </c>
      <c r="CW92" s="191" t="e">
        <f t="shared" si="239"/>
        <v>#DIV/0!</v>
      </c>
      <c r="CX92" s="191" t="e">
        <f t="shared" si="240"/>
        <v>#DIV/0!</v>
      </c>
      <c r="CY92" s="191" t="e">
        <f t="shared" si="241"/>
        <v>#DIV/0!</v>
      </c>
      <c r="CZ92" s="191" t="e">
        <f t="shared" si="242"/>
        <v>#DIV/0!</v>
      </c>
      <c r="DA92" s="191">
        <f t="shared" si="243"/>
        <v>1</v>
      </c>
      <c r="DB92" s="191">
        <f t="shared" si="244"/>
        <v>0</v>
      </c>
      <c r="DC92" s="2" t="str">
        <f t="shared" si="245"/>
        <v>Soft</v>
      </c>
      <c r="DD92" s="2"/>
      <c r="DE92" s="2">
        <f t="shared" si="246"/>
        <v>0</v>
      </c>
      <c r="DF92" s="191" t="e">
        <f t="shared" si="247"/>
        <v>#DIV/0!</v>
      </c>
      <c r="DG92" s="191" t="e">
        <f t="shared" si="248"/>
        <v>#DIV/0!</v>
      </c>
      <c r="DH92" s="191" t="e">
        <f t="shared" si="249"/>
        <v>#DIV/0!</v>
      </c>
      <c r="DI92" s="191" t="e">
        <f t="shared" si="250"/>
        <v>#DIV/0!</v>
      </c>
      <c r="DJ92" s="191" t="e">
        <f t="shared" si="280"/>
        <v>#DIV/0!</v>
      </c>
      <c r="DK92" s="2"/>
      <c r="DL92" s="2"/>
      <c r="DM92" s="2"/>
      <c r="DN92" s="2">
        <f t="shared" si="251"/>
        <v>1</v>
      </c>
      <c r="DO92" s="191" t="e">
        <f t="shared" si="252"/>
        <v>#DIV/0!</v>
      </c>
      <c r="DP92" s="191" t="e">
        <f t="shared" si="253"/>
        <v>#DIV/0!</v>
      </c>
      <c r="DQ92" s="191" t="e">
        <f t="shared" si="254"/>
        <v>#DIV/0!</v>
      </c>
      <c r="DR92" s="191" t="e">
        <f t="shared" si="255"/>
        <v>#DIV/0!</v>
      </c>
      <c r="DS92" s="191" t="e">
        <f t="shared" si="256"/>
        <v>#DIV/0!</v>
      </c>
      <c r="DT92" s="191" t="e">
        <f t="shared" si="257"/>
        <v>#DIV/0!</v>
      </c>
      <c r="DU92" s="191">
        <f t="shared" si="258"/>
        <v>0</v>
      </c>
      <c r="DV92" s="2"/>
      <c r="DW92" s="2" t="b">
        <f t="shared" si="259"/>
        <v>1</v>
      </c>
      <c r="DX92" s="2" t="b">
        <f t="shared" si="260"/>
        <v>1</v>
      </c>
      <c r="DY92" s="2" t="b">
        <f t="shared" si="261"/>
        <v>1</v>
      </c>
      <c r="DZ92" s="2" t="b">
        <f t="shared" si="262"/>
        <v>1</v>
      </c>
      <c r="EA92" s="2" t="b">
        <f t="shared" si="263"/>
        <v>1</v>
      </c>
      <c r="EB92"/>
    </row>
    <row r="93" spans="1:132" s="108" customFormat="1" ht="18.5" hidden="1" thickBot="1" x14ac:dyDescent="0.45">
      <c r="A93" s="109"/>
      <c r="B93" s="88" t="str">
        <f t="shared" si="80"/>
        <v>-</v>
      </c>
      <c r="C93" s="118">
        <v>74</v>
      </c>
      <c r="D93" s="794"/>
      <c r="E93" s="795"/>
      <c r="F93" s="566"/>
      <c r="G93" s="567"/>
      <c r="H93" s="568"/>
      <c r="I93" s="558"/>
      <c r="J93" s="559"/>
      <c r="K93" s="560"/>
      <c r="L93" s="560"/>
      <c r="M93" s="560"/>
      <c r="N93" s="561"/>
      <c r="O93" s="562"/>
      <c r="P93" s="563"/>
      <c r="Q93" s="564"/>
      <c r="R93" s="565"/>
      <c r="S93" s="112" t="str">
        <f t="shared" si="191"/>
        <v/>
      </c>
      <c r="T93" s="113" t="str">
        <f t="shared" si="192"/>
        <v/>
      </c>
      <c r="U93" s="114">
        <f t="shared" si="193"/>
        <v>0</v>
      </c>
      <c r="V93" s="117" t="str">
        <f t="shared" si="194"/>
        <v/>
      </c>
      <c r="W93" s="234" t="str">
        <f t="shared" si="195"/>
        <v/>
      </c>
      <c r="X93" s="115">
        <f t="shared" si="184"/>
        <v>0</v>
      </c>
      <c r="Y93" s="116" t="str">
        <f t="shared" si="196"/>
        <v/>
      </c>
      <c r="Z93" s="111"/>
      <c r="AA93" s="2"/>
      <c r="AB93" s="2">
        <v>74</v>
      </c>
      <c r="AC93" s="22" t="str">
        <f t="shared" si="185"/>
        <v>-</v>
      </c>
      <c r="AD93" s="22">
        <f t="shared" si="186"/>
        <v>0</v>
      </c>
      <c r="AE93" s="22">
        <f t="shared" si="264"/>
        <v>0</v>
      </c>
      <c r="AF93" s="22"/>
      <c r="AG93" s="21">
        <f t="shared" si="265"/>
        <v>0</v>
      </c>
      <c r="AH93" s="6">
        <f t="shared" si="197"/>
        <v>0</v>
      </c>
      <c r="AI93" s="7">
        <f>IF(SUM(AH93:AH$99)=0,0,F93&gt;0)</f>
        <v>0</v>
      </c>
      <c r="AJ93" s="6">
        <f t="shared" si="198"/>
        <v>0</v>
      </c>
      <c r="AK93" s="7">
        <f>IF(SUM(AH93:AH$99)=0,0,AND(AI93=FALSE,AJ93=0,SUM(AJ93:AJ$99)&gt;0))</f>
        <v>0</v>
      </c>
      <c r="AL93" s="7">
        <f t="shared" si="266"/>
        <v>0</v>
      </c>
      <c r="AM93" s="7">
        <f t="shared" si="199"/>
        <v>0</v>
      </c>
      <c r="AN93" s="9">
        <f t="shared" si="200"/>
        <v>0</v>
      </c>
      <c r="AO93" s="9">
        <f t="shared" si="201"/>
        <v>0</v>
      </c>
      <c r="AP93" s="486">
        <f t="shared" si="202"/>
        <v>0</v>
      </c>
      <c r="AQ93" s="486">
        <f t="shared" si="267"/>
        <v>0</v>
      </c>
      <c r="AR93" s="7">
        <f t="shared" si="203"/>
        <v>0</v>
      </c>
      <c r="AS93" s="7" t="str">
        <f t="shared" si="268"/>
        <v/>
      </c>
      <c r="AT93" s="7">
        <f t="shared" si="204"/>
        <v>0</v>
      </c>
      <c r="AU93" s="485">
        <f t="shared" si="269"/>
        <v>0</v>
      </c>
      <c r="AV93" s="7">
        <f t="shared" si="205"/>
        <v>0</v>
      </c>
      <c r="AW93" s="7">
        <f t="shared" si="206"/>
        <v>0</v>
      </c>
      <c r="AX93" s="7">
        <f t="shared" si="207"/>
        <v>0</v>
      </c>
      <c r="AY93" s="484">
        <f t="shared" si="270"/>
        <v>0</v>
      </c>
      <c r="AZ93" s="7">
        <f t="shared" si="208"/>
        <v>0</v>
      </c>
      <c r="BA93" s="483">
        <f t="shared" si="271"/>
        <v>0</v>
      </c>
      <c r="BB93" s="487" t="str">
        <f t="shared" si="272"/>
        <v/>
      </c>
      <c r="BC93" s="487" t="str">
        <f t="shared" si="273"/>
        <v/>
      </c>
      <c r="BD93" s="7">
        <f t="shared" si="209"/>
        <v>0</v>
      </c>
      <c r="BE93" s="7">
        <f t="shared" si="210"/>
        <v>0</v>
      </c>
      <c r="BF93" s="7">
        <f t="shared" si="211"/>
        <v>0</v>
      </c>
      <c r="BG93" s="8" t="b">
        <f t="shared" si="212"/>
        <v>0</v>
      </c>
      <c r="BH93" s="235" t="str">
        <f t="shared" si="213"/>
        <v/>
      </c>
      <c r="BI93" s="75">
        <f t="shared" si="214"/>
        <v>0</v>
      </c>
      <c r="BJ93" s="15">
        <f t="shared" si="215"/>
        <v>0</v>
      </c>
      <c r="BK93" s="15">
        <f t="shared" si="187"/>
        <v>0</v>
      </c>
      <c r="BL93" s="18">
        <f t="shared" si="216"/>
        <v>0</v>
      </c>
      <c r="BM93" s="78">
        <f t="shared" si="217"/>
        <v>0</v>
      </c>
      <c r="BN93" s="14">
        <f t="shared" si="218"/>
        <v>0</v>
      </c>
      <c r="BO93" s="14">
        <f t="shared" si="219"/>
        <v>0</v>
      </c>
      <c r="BP93" s="15">
        <f t="shared" si="188"/>
        <v>0</v>
      </c>
      <c r="BQ93" s="73">
        <f t="shared" si="220"/>
        <v>0</v>
      </c>
      <c r="BR93" s="13"/>
      <c r="BS93" s="75">
        <f t="shared" si="281"/>
        <v>0</v>
      </c>
      <c r="BT93" s="15">
        <f t="shared" si="282"/>
        <v>0</v>
      </c>
      <c r="BU93" s="15">
        <f t="shared" si="283"/>
        <v>0</v>
      </c>
      <c r="BV93" s="17">
        <f t="shared" si="284"/>
        <v>0</v>
      </c>
      <c r="BW93" s="72">
        <f t="shared" si="221"/>
        <v>0</v>
      </c>
      <c r="BX93" s="14">
        <f t="shared" si="222"/>
        <v>0</v>
      </c>
      <c r="BY93" s="15">
        <f t="shared" si="189"/>
        <v>0</v>
      </c>
      <c r="BZ93" s="14">
        <f t="shared" si="274"/>
        <v>0</v>
      </c>
      <c r="CA93" s="73">
        <f t="shared" si="223"/>
        <v>0</v>
      </c>
      <c r="CB93" s="192" t="e">
        <f t="shared" si="224"/>
        <v>#DIV/0!</v>
      </c>
      <c r="CC93" s="72" t="e">
        <f t="shared" si="225"/>
        <v>#DIV/0!</v>
      </c>
      <c r="CD93" s="14">
        <f t="shared" si="226"/>
        <v>0</v>
      </c>
      <c r="CE93" s="19">
        <f t="shared" si="275"/>
        <v>0</v>
      </c>
      <c r="CF93" s="19">
        <f t="shared" si="227"/>
        <v>0</v>
      </c>
      <c r="CG93" s="20" t="e">
        <f t="shared" si="228"/>
        <v>#DIV/0!</v>
      </c>
      <c r="CH93" s="20" t="e">
        <f t="shared" si="229"/>
        <v>#DIV/0!</v>
      </c>
      <c r="CI93" s="83" t="e">
        <f t="shared" si="190"/>
        <v>#DIV/0!</v>
      </c>
      <c r="CJ93" s="77" t="e">
        <f t="shared" si="230"/>
        <v>#DIV/0!</v>
      </c>
      <c r="CK93" s="2" t="e">
        <f t="shared" si="276"/>
        <v>#DIV/0!</v>
      </c>
      <c r="CL93" s="2" t="str">
        <f t="shared" si="231"/>
        <v/>
      </c>
      <c r="CM93" s="231" t="e">
        <f t="shared" si="277"/>
        <v>#DIV/0!</v>
      </c>
      <c r="CN93" s="233" t="e">
        <f t="shared" si="278"/>
        <v>#DIV/0!</v>
      </c>
      <c r="CO93" s="233">
        <f t="shared" si="279"/>
        <v>0</v>
      </c>
      <c r="CP93" s="2">
        <f t="shared" si="232"/>
        <v>1</v>
      </c>
      <c r="CQ93" s="2">
        <f t="shared" si="233"/>
        <v>1</v>
      </c>
      <c r="CR93" s="2" t="str">
        <f t="shared" si="234"/>
        <v/>
      </c>
      <c r="CS93" s="2">
        <f t="shared" si="235"/>
        <v>0</v>
      </c>
      <c r="CT93" s="191">
        <f t="shared" si="236"/>
        <v>0</v>
      </c>
      <c r="CU93" s="2" t="str">
        <f t="shared" si="237"/>
        <v>OK</v>
      </c>
      <c r="CV93" s="232">
        <f t="shared" si="238"/>
        <v>0.05</v>
      </c>
      <c r="CW93" s="191" t="e">
        <f t="shared" si="239"/>
        <v>#DIV/0!</v>
      </c>
      <c r="CX93" s="191" t="e">
        <f t="shared" si="240"/>
        <v>#DIV/0!</v>
      </c>
      <c r="CY93" s="191" t="e">
        <f t="shared" si="241"/>
        <v>#DIV/0!</v>
      </c>
      <c r="CZ93" s="191" t="e">
        <f t="shared" si="242"/>
        <v>#DIV/0!</v>
      </c>
      <c r="DA93" s="191">
        <f t="shared" si="243"/>
        <v>1</v>
      </c>
      <c r="DB93" s="191">
        <f t="shared" si="244"/>
        <v>0</v>
      </c>
      <c r="DC93" s="2" t="str">
        <f t="shared" si="245"/>
        <v>Soft</v>
      </c>
      <c r="DD93" s="2"/>
      <c r="DE93" s="2">
        <f t="shared" si="246"/>
        <v>0</v>
      </c>
      <c r="DF93" s="191" t="e">
        <f t="shared" si="247"/>
        <v>#DIV/0!</v>
      </c>
      <c r="DG93" s="191" t="e">
        <f t="shared" si="248"/>
        <v>#DIV/0!</v>
      </c>
      <c r="DH93" s="191" t="e">
        <f t="shared" si="249"/>
        <v>#DIV/0!</v>
      </c>
      <c r="DI93" s="191" t="e">
        <f t="shared" si="250"/>
        <v>#DIV/0!</v>
      </c>
      <c r="DJ93" s="191" t="e">
        <f t="shared" si="280"/>
        <v>#DIV/0!</v>
      </c>
      <c r="DK93" s="2"/>
      <c r="DL93" s="2"/>
      <c r="DM93" s="2"/>
      <c r="DN93" s="2">
        <f t="shared" si="251"/>
        <v>1</v>
      </c>
      <c r="DO93" s="191" t="e">
        <f t="shared" si="252"/>
        <v>#DIV/0!</v>
      </c>
      <c r="DP93" s="191" t="e">
        <f t="shared" si="253"/>
        <v>#DIV/0!</v>
      </c>
      <c r="DQ93" s="191" t="e">
        <f t="shared" si="254"/>
        <v>#DIV/0!</v>
      </c>
      <c r="DR93" s="191" t="e">
        <f t="shared" si="255"/>
        <v>#DIV/0!</v>
      </c>
      <c r="DS93" s="191" t="e">
        <f t="shared" si="256"/>
        <v>#DIV/0!</v>
      </c>
      <c r="DT93" s="191" t="e">
        <f t="shared" si="257"/>
        <v>#DIV/0!</v>
      </c>
      <c r="DU93" s="191">
        <f t="shared" si="258"/>
        <v>0</v>
      </c>
      <c r="DV93" s="2"/>
      <c r="DW93" s="2" t="b">
        <f t="shared" si="259"/>
        <v>1</v>
      </c>
      <c r="DX93" s="2" t="b">
        <f t="shared" si="260"/>
        <v>1</v>
      </c>
      <c r="DY93" s="2" t="b">
        <f t="shared" si="261"/>
        <v>1</v>
      </c>
      <c r="DZ93" s="2" t="b">
        <f t="shared" si="262"/>
        <v>1</v>
      </c>
      <c r="EA93" s="2" t="b">
        <f t="shared" si="263"/>
        <v>1</v>
      </c>
      <c r="EB93"/>
    </row>
    <row r="94" spans="1:132" s="108" customFormat="1" ht="18.5" hidden="1" thickBot="1" x14ac:dyDescent="0.45">
      <c r="A94" s="109"/>
      <c r="B94" s="88" t="str">
        <f t="shared" si="80"/>
        <v>-</v>
      </c>
      <c r="C94" s="118">
        <v>75</v>
      </c>
      <c r="D94" s="794"/>
      <c r="E94" s="795"/>
      <c r="F94" s="566"/>
      <c r="G94" s="567"/>
      <c r="H94" s="568"/>
      <c r="I94" s="558"/>
      <c r="J94" s="559"/>
      <c r="K94" s="560"/>
      <c r="L94" s="560"/>
      <c r="M94" s="560"/>
      <c r="N94" s="561"/>
      <c r="O94" s="562"/>
      <c r="P94" s="563"/>
      <c r="Q94" s="564"/>
      <c r="R94" s="565"/>
      <c r="S94" s="112" t="str">
        <f t="shared" si="191"/>
        <v/>
      </c>
      <c r="T94" s="113" t="str">
        <f t="shared" si="192"/>
        <v/>
      </c>
      <c r="U94" s="114">
        <f t="shared" si="193"/>
        <v>0</v>
      </c>
      <c r="V94" s="117" t="str">
        <f t="shared" si="194"/>
        <v/>
      </c>
      <c r="W94" s="234" t="str">
        <f t="shared" si="195"/>
        <v/>
      </c>
      <c r="X94" s="115">
        <f t="shared" si="184"/>
        <v>0</v>
      </c>
      <c r="Y94" s="116" t="str">
        <f t="shared" si="196"/>
        <v/>
      </c>
      <c r="Z94" s="111"/>
      <c r="AA94" s="2"/>
      <c r="AB94" s="2">
        <v>75</v>
      </c>
      <c r="AC94" s="22" t="str">
        <f t="shared" si="185"/>
        <v>-</v>
      </c>
      <c r="AD94" s="22">
        <f t="shared" si="186"/>
        <v>0</v>
      </c>
      <c r="AE94" s="22">
        <f t="shared" si="264"/>
        <v>0</v>
      </c>
      <c r="AF94" s="22"/>
      <c r="AG94" s="21">
        <f t="shared" si="265"/>
        <v>0</v>
      </c>
      <c r="AH94" s="6">
        <f t="shared" si="197"/>
        <v>0</v>
      </c>
      <c r="AI94" s="7">
        <f>IF(SUM(AH94:AH$99)=0,0,F94&gt;0)</f>
        <v>0</v>
      </c>
      <c r="AJ94" s="6">
        <f t="shared" si="198"/>
        <v>0</v>
      </c>
      <c r="AK94" s="7">
        <f>IF(SUM(AH94:AH$99)=0,0,AND(AI94=FALSE,AJ94=0,SUM(AJ94:AJ$99)&gt;0))</f>
        <v>0</v>
      </c>
      <c r="AL94" s="7">
        <f t="shared" si="266"/>
        <v>0</v>
      </c>
      <c r="AM94" s="7">
        <f t="shared" si="199"/>
        <v>0</v>
      </c>
      <c r="AN94" s="9">
        <f t="shared" si="200"/>
        <v>0</v>
      </c>
      <c r="AO94" s="9">
        <f t="shared" si="201"/>
        <v>0</v>
      </c>
      <c r="AP94" s="486">
        <f t="shared" si="202"/>
        <v>0</v>
      </c>
      <c r="AQ94" s="486">
        <f t="shared" si="267"/>
        <v>0</v>
      </c>
      <c r="AR94" s="7">
        <f t="shared" si="203"/>
        <v>0</v>
      </c>
      <c r="AS94" s="7" t="str">
        <f t="shared" si="268"/>
        <v/>
      </c>
      <c r="AT94" s="7">
        <f t="shared" si="204"/>
        <v>0</v>
      </c>
      <c r="AU94" s="485">
        <f t="shared" si="269"/>
        <v>0</v>
      </c>
      <c r="AV94" s="7">
        <f t="shared" si="205"/>
        <v>0</v>
      </c>
      <c r="AW94" s="7">
        <f t="shared" si="206"/>
        <v>0</v>
      </c>
      <c r="AX94" s="7">
        <f t="shared" si="207"/>
        <v>0</v>
      </c>
      <c r="AY94" s="484">
        <f t="shared" si="270"/>
        <v>0</v>
      </c>
      <c r="AZ94" s="7">
        <f t="shared" si="208"/>
        <v>0</v>
      </c>
      <c r="BA94" s="483">
        <f t="shared" si="271"/>
        <v>0</v>
      </c>
      <c r="BB94" s="487" t="str">
        <f t="shared" si="272"/>
        <v/>
      </c>
      <c r="BC94" s="487" t="str">
        <f t="shared" si="273"/>
        <v/>
      </c>
      <c r="BD94" s="7">
        <f t="shared" si="209"/>
        <v>0</v>
      </c>
      <c r="BE94" s="7">
        <f t="shared" si="210"/>
        <v>0</v>
      </c>
      <c r="BF94" s="7">
        <f t="shared" si="211"/>
        <v>0</v>
      </c>
      <c r="BG94" s="8" t="b">
        <f t="shared" si="212"/>
        <v>0</v>
      </c>
      <c r="BH94" s="235" t="str">
        <f t="shared" si="213"/>
        <v/>
      </c>
      <c r="BI94" s="75">
        <f t="shared" si="214"/>
        <v>0</v>
      </c>
      <c r="BJ94" s="15">
        <f t="shared" si="215"/>
        <v>0</v>
      </c>
      <c r="BK94" s="15">
        <f t="shared" si="187"/>
        <v>0</v>
      </c>
      <c r="BL94" s="18">
        <f t="shared" si="216"/>
        <v>0</v>
      </c>
      <c r="BM94" s="78">
        <f t="shared" si="217"/>
        <v>0</v>
      </c>
      <c r="BN94" s="14">
        <f t="shared" si="218"/>
        <v>0</v>
      </c>
      <c r="BO94" s="14">
        <f t="shared" si="219"/>
        <v>0</v>
      </c>
      <c r="BP94" s="15">
        <f t="shared" si="188"/>
        <v>0</v>
      </c>
      <c r="BQ94" s="73">
        <f t="shared" si="220"/>
        <v>0</v>
      </c>
      <c r="BR94" s="13"/>
      <c r="BS94" s="75">
        <f t="shared" si="281"/>
        <v>0</v>
      </c>
      <c r="BT94" s="15">
        <f t="shared" si="282"/>
        <v>0</v>
      </c>
      <c r="BU94" s="15">
        <f t="shared" si="283"/>
        <v>0</v>
      </c>
      <c r="BV94" s="17">
        <f t="shared" si="284"/>
        <v>0</v>
      </c>
      <c r="BW94" s="72">
        <f t="shared" si="221"/>
        <v>0</v>
      </c>
      <c r="BX94" s="14">
        <f t="shared" si="222"/>
        <v>0</v>
      </c>
      <c r="BY94" s="15">
        <f t="shared" si="189"/>
        <v>0</v>
      </c>
      <c r="BZ94" s="14">
        <f t="shared" si="274"/>
        <v>0</v>
      </c>
      <c r="CA94" s="73">
        <f t="shared" si="223"/>
        <v>0</v>
      </c>
      <c r="CB94" s="192" t="e">
        <f t="shared" si="224"/>
        <v>#DIV/0!</v>
      </c>
      <c r="CC94" s="72" t="e">
        <f t="shared" si="225"/>
        <v>#DIV/0!</v>
      </c>
      <c r="CD94" s="14">
        <f t="shared" si="226"/>
        <v>0</v>
      </c>
      <c r="CE94" s="19">
        <f t="shared" si="275"/>
        <v>0</v>
      </c>
      <c r="CF94" s="19">
        <f t="shared" si="227"/>
        <v>0</v>
      </c>
      <c r="CG94" s="20" t="e">
        <f t="shared" si="228"/>
        <v>#DIV/0!</v>
      </c>
      <c r="CH94" s="20" t="e">
        <f t="shared" si="229"/>
        <v>#DIV/0!</v>
      </c>
      <c r="CI94" s="83" t="e">
        <f t="shared" si="190"/>
        <v>#DIV/0!</v>
      </c>
      <c r="CJ94" s="77" t="e">
        <f t="shared" si="230"/>
        <v>#DIV/0!</v>
      </c>
      <c r="CK94" s="2" t="e">
        <f t="shared" si="276"/>
        <v>#DIV/0!</v>
      </c>
      <c r="CL94" s="2" t="str">
        <f t="shared" si="231"/>
        <v/>
      </c>
      <c r="CM94" s="231" t="e">
        <f t="shared" si="277"/>
        <v>#DIV/0!</v>
      </c>
      <c r="CN94" s="233" t="e">
        <f t="shared" si="278"/>
        <v>#DIV/0!</v>
      </c>
      <c r="CO94" s="233">
        <f t="shared" si="279"/>
        <v>0</v>
      </c>
      <c r="CP94" s="2">
        <f t="shared" si="232"/>
        <v>1</v>
      </c>
      <c r="CQ94" s="2">
        <f t="shared" si="233"/>
        <v>1</v>
      </c>
      <c r="CR94" s="2" t="str">
        <f t="shared" si="234"/>
        <v/>
      </c>
      <c r="CS94" s="2">
        <f t="shared" si="235"/>
        <v>0</v>
      </c>
      <c r="CT94" s="191">
        <f t="shared" si="236"/>
        <v>0</v>
      </c>
      <c r="CU94" s="2" t="str">
        <f t="shared" si="237"/>
        <v>OK</v>
      </c>
      <c r="CV94" s="232">
        <f t="shared" si="238"/>
        <v>0.05</v>
      </c>
      <c r="CW94" s="191" t="e">
        <f t="shared" si="239"/>
        <v>#DIV/0!</v>
      </c>
      <c r="CX94" s="191" t="e">
        <f t="shared" si="240"/>
        <v>#DIV/0!</v>
      </c>
      <c r="CY94" s="191" t="e">
        <f t="shared" si="241"/>
        <v>#DIV/0!</v>
      </c>
      <c r="CZ94" s="191" t="e">
        <f t="shared" si="242"/>
        <v>#DIV/0!</v>
      </c>
      <c r="DA94" s="191">
        <f t="shared" si="243"/>
        <v>1</v>
      </c>
      <c r="DB94" s="191">
        <f t="shared" si="244"/>
        <v>0</v>
      </c>
      <c r="DC94" s="2" t="str">
        <f t="shared" si="245"/>
        <v>Soft</v>
      </c>
      <c r="DD94" s="2"/>
      <c r="DE94" s="2">
        <f t="shared" si="246"/>
        <v>0</v>
      </c>
      <c r="DF94" s="191" t="e">
        <f t="shared" si="247"/>
        <v>#DIV/0!</v>
      </c>
      <c r="DG94" s="191" t="e">
        <f t="shared" si="248"/>
        <v>#DIV/0!</v>
      </c>
      <c r="DH94" s="191" t="e">
        <f t="shared" si="249"/>
        <v>#DIV/0!</v>
      </c>
      <c r="DI94" s="191" t="e">
        <f t="shared" si="250"/>
        <v>#DIV/0!</v>
      </c>
      <c r="DJ94" s="191" t="e">
        <f t="shared" si="280"/>
        <v>#DIV/0!</v>
      </c>
      <c r="DK94" s="2"/>
      <c r="DL94" s="2"/>
      <c r="DM94" s="2"/>
      <c r="DN94" s="2">
        <f t="shared" si="251"/>
        <v>1</v>
      </c>
      <c r="DO94" s="191" t="e">
        <f t="shared" si="252"/>
        <v>#DIV/0!</v>
      </c>
      <c r="DP94" s="191" t="e">
        <f t="shared" si="253"/>
        <v>#DIV/0!</v>
      </c>
      <c r="DQ94" s="191" t="e">
        <f t="shared" si="254"/>
        <v>#DIV/0!</v>
      </c>
      <c r="DR94" s="191" t="e">
        <f t="shared" si="255"/>
        <v>#DIV/0!</v>
      </c>
      <c r="DS94" s="191" t="e">
        <f t="shared" si="256"/>
        <v>#DIV/0!</v>
      </c>
      <c r="DT94" s="191" t="e">
        <f t="shared" si="257"/>
        <v>#DIV/0!</v>
      </c>
      <c r="DU94" s="191">
        <f t="shared" si="258"/>
        <v>0</v>
      </c>
      <c r="DV94" s="2"/>
      <c r="DW94" s="2" t="b">
        <f t="shared" si="259"/>
        <v>1</v>
      </c>
      <c r="DX94" s="2" t="b">
        <f t="shared" si="260"/>
        <v>1</v>
      </c>
      <c r="DY94" s="2" t="b">
        <f t="shared" si="261"/>
        <v>1</v>
      </c>
      <c r="DZ94" s="2" t="b">
        <f t="shared" si="262"/>
        <v>1</v>
      </c>
      <c r="EA94" s="2" t="b">
        <f t="shared" si="263"/>
        <v>1</v>
      </c>
      <c r="EB94"/>
    </row>
    <row r="95" spans="1:132" s="108" customFormat="1" ht="18.5" hidden="1" thickBot="1" x14ac:dyDescent="0.45">
      <c r="A95" s="109"/>
      <c r="B95" s="88" t="str">
        <f t="shared" si="80"/>
        <v>-</v>
      </c>
      <c r="C95" s="118">
        <v>76</v>
      </c>
      <c r="D95" s="794"/>
      <c r="E95" s="795"/>
      <c r="F95" s="566"/>
      <c r="G95" s="567"/>
      <c r="H95" s="568"/>
      <c r="I95" s="558"/>
      <c r="J95" s="559"/>
      <c r="K95" s="560"/>
      <c r="L95" s="560"/>
      <c r="M95" s="560"/>
      <c r="N95" s="561"/>
      <c r="O95" s="562"/>
      <c r="P95" s="563"/>
      <c r="Q95" s="564"/>
      <c r="R95" s="565"/>
      <c r="S95" s="112" t="str">
        <f t="shared" si="191"/>
        <v/>
      </c>
      <c r="T95" s="113" t="str">
        <f t="shared" si="192"/>
        <v/>
      </c>
      <c r="U95" s="114">
        <f t="shared" si="193"/>
        <v>0</v>
      </c>
      <c r="V95" s="117" t="str">
        <f t="shared" si="194"/>
        <v/>
      </c>
      <c r="W95" s="234" t="str">
        <f t="shared" si="195"/>
        <v/>
      </c>
      <c r="X95" s="115">
        <f t="shared" si="184"/>
        <v>0</v>
      </c>
      <c r="Y95" s="116" t="str">
        <f t="shared" si="196"/>
        <v/>
      </c>
      <c r="Z95" s="111"/>
      <c r="AA95" s="2"/>
      <c r="AB95" s="2">
        <v>76</v>
      </c>
      <c r="AC95" s="22" t="str">
        <f t="shared" si="185"/>
        <v>-</v>
      </c>
      <c r="AD95" s="22">
        <f t="shared" si="186"/>
        <v>0</v>
      </c>
      <c r="AE95" s="22">
        <f t="shared" si="264"/>
        <v>0</v>
      </c>
      <c r="AF95" s="22"/>
      <c r="AG95" s="21">
        <f t="shared" si="265"/>
        <v>0</v>
      </c>
      <c r="AH95" s="6">
        <f t="shared" si="197"/>
        <v>0</v>
      </c>
      <c r="AI95" s="7">
        <f>IF(SUM(AH95:AH$99)=0,0,F95&gt;0)</f>
        <v>0</v>
      </c>
      <c r="AJ95" s="6">
        <f t="shared" si="198"/>
        <v>0</v>
      </c>
      <c r="AK95" s="7">
        <f>IF(SUM(AH95:AH$99)=0,0,AND(AI95=FALSE,AJ95=0,SUM(AJ95:AJ$99)&gt;0))</f>
        <v>0</v>
      </c>
      <c r="AL95" s="7">
        <f t="shared" si="266"/>
        <v>0</v>
      </c>
      <c r="AM95" s="7">
        <f t="shared" si="199"/>
        <v>0</v>
      </c>
      <c r="AN95" s="9">
        <f t="shared" si="200"/>
        <v>0</v>
      </c>
      <c r="AO95" s="9">
        <f t="shared" si="201"/>
        <v>0</v>
      </c>
      <c r="AP95" s="486">
        <f t="shared" si="202"/>
        <v>0</v>
      </c>
      <c r="AQ95" s="486">
        <f t="shared" si="267"/>
        <v>0</v>
      </c>
      <c r="AR95" s="7">
        <f t="shared" si="203"/>
        <v>0</v>
      </c>
      <c r="AS95" s="7" t="str">
        <f t="shared" si="268"/>
        <v/>
      </c>
      <c r="AT95" s="7">
        <f t="shared" si="204"/>
        <v>0</v>
      </c>
      <c r="AU95" s="485">
        <f t="shared" si="269"/>
        <v>0</v>
      </c>
      <c r="AV95" s="7">
        <f t="shared" si="205"/>
        <v>0</v>
      </c>
      <c r="AW95" s="7">
        <f t="shared" si="206"/>
        <v>0</v>
      </c>
      <c r="AX95" s="7">
        <f t="shared" si="207"/>
        <v>0</v>
      </c>
      <c r="AY95" s="484">
        <f t="shared" si="270"/>
        <v>0</v>
      </c>
      <c r="AZ95" s="7">
        <f t="shared" si="208"/>
        <v>0</v>
      </c>
      <c r="BA95" s="483">
        <f t="shared" si="271"/>
        <v>0</v>
      </c>
      <c r="BB95" s="487" t="str">
        <f t="shared" si="272"/>
        <v/>
      </c>
      <c r="BC95" s="487" t="str">
        <f t="shared" si="273"/>
        <v/>
      </c>
      <c r="BD95" s="7">
        <f t="shared" si="209"/>
        <v>0</v>
      </c>
      <c r="BE95" s="7">
        <f t="shared" si="210"/>
        <v>0</v>
      </c>
      <c r="BF95" s="7">
        <f t="shared" si="211"/>
        <v>0</v>
      </c>
      <c r="BG95" s="8" t="b">
        <f t="shared" si="212"/>
        <v>0</v>
      </c>
      <c r="BH95" s="235" t="str">
        <f t="shared" si="213"/>
        <v/>
      </c>
      <c r="BI95" s="75">
        <f t="shared" si="214"/>
        <v>0</v>
      </c>
      <c r="BJ95" s="15">
        <f t="shared" si="215"/>
        <v>0</v>
      </c>
      <c r="BK95" s="15">
        <f t="shared" si="187"/>
        <v>0</v>
      </c>
      <c r="BL95" s="18">
        <f t="shared" si="216"/>
        <v>0</v>
      </c>
      <c r="BM95" s="78">
        <f t="shared" si="217"/>
        <v>0</v>
      </c>
      <c r="BN95" s="14">
        <f t="shared" si="218"/>
        <v>0</v>
      </c>
      <c r="BO95" s="14">
        <f t="shared" si="219"/>
        <v>0</v>
      </c>
      <c r="BP95" s="15">
        <f t="shared" si="188"/>
        <v>0</v>
      </c>
      <c r="BQ95" s="73">
        <f t="shared" si="220"/>
        <v>0</v>
      </c>
      <c r="BR95" s="13"/>
      <c r="BS95" s="75">
        <f t="shared" si="281"/>
        <v>0</v>
      </c>
      <c r="BT95" s="15">
        <f t="shared" si="282"/>
        <v>0</v>
      </c>
      <c r="BU95" s="15">
        <f t="shared" si="283"/>
        <v>0</v>
      </c>
      <c r="BV95" s="17">
        <f t="shared" si="284"/>
        <v>0</v>
      </c>
      <c r="BW95" s="72">
        <f t="shared" si="221"/>
        <v>0</v>
      </c>
      <c r="BX95" s="14">
        <f t="shared" si="222"/>
        <v>0</v>
      </c>
      <c r="BY95" s="15">
        <f t="shared" si="189"/>
        <v>0</v>
      </c>
      <c r="BZ95" s="14">
        <f t="shared" si="274"/>
        <v>0</v>
      </c>
      <c r="CA95" s="73">
        <f t="shared" si="223"/>
        <v>0</v>
      </c>
      <c r="CB95" s="192" t="e">
        <f t="shared" si="224"/>
        <v>#DIV/0!</v>
      </c>
      <c r="CC95" s="72" t="e">
        <f t="shared" si="225"/>
        <v>#DIV/0!</v>
      </c>
      <c r="CD95" s="14">
        <f t="shared" si="226"/>
        <v>0</v>
      </c>
      <c r="CE95" s="19">
        <f t="shared" si="275"/>
        <v>0</v>
      </c>
      <c r="CF95" s="19">
        <f t="shared" si="227"/>
        <v>0</v>
      </c>
      <c r="CG95" s="20" t="e">
        <f t="shared" si="228"/>
        <v>#DIV/0!</v>
      </c>
      <c r="CH95" s="20" t="e">
        <f t="shared" si="229"/>
        <v>#DIV/0!</v>
      </c>
      <c r="CI95" s="83" t="e">
        <f t="shared" si="190"/>
        <v>#DIV/0!</v>
      </c>
      <c r="CJ95" s="77" t="e">
        <f t="shared" si="230"/>
        <v>#DIV/0!</v>
      </c>
      <c r="CK95" s="2" t="e">
        <f t="shared" si="276"/>
        <v>#DIV/0!</v>
      </c>
      <c r="CL95" s="2" t="str">
        <f t="shared" si="231"/>
        <v/>
      </c>
      <c r="CM95" s="231" t="e">
        <f t="shared" si="277"/>
        <v>#DIV/0!</v>
      </c>
      <c r="CN95" s="233" t="e">
        <f t="shared" si="278"/>
        <v>#DIV/0!</v>
      </c>
      <c r="CO95" s="233">
        <f t="shared" si="279"/>
        <v>0</v>
      </c>
      <c r="CP95" s="2">
        <f t="shared" si="232"/>
        <v>1</v>
      </c>
      <c r="CQ95" s="2">
        <f t="shared" si="233"/>
        <v>1</v>
      </c>
      <c r="CR95" s="2" t="str">
        <f t="shared" si="234"/>
        <v/>
      </c>
      <c r="CS95" s="2">
        <f t="shared" si="235"/>
        <v>0</v>
      </c>
      <c r="CT95" s="191">
        <f t="shared" si="236"/>
        <v>0</v>
      </c>
      <c r="CU95" s="2" t="str">
        <f t="shared" si="237"/>
        <v>OK</v>
      </c>
      <c r="CV95" s="232">
        <f t="shared" si="238"/>
        <v>0.05</v>
      </c>
      <c r="CW95" s="191" t="e">
        <f t="shared" si="239"/>
        <v>#DIV/0!</v>
      </c>
      <c r="CX95" s="191" t="e">
        <f t="shared" si="240"/>
        <v>#DIV/0!</v>
      </c>
      <c r="CY95" s="191" t="e">
        <f t="shared" si="241"/>
        <v>#DIV/0!</v>
      </c>
      <c r="CZ95" s="191" t="e">
        <f t="shared" si="242"/>
        <v>#DIV/0!</v>
      </c>
      <c r="DA95" s="191">
        <f t="shared" si="243"/>
        <v>1</v>
      </c>
      <c r="DB95" s="191">
        <f t="shared" si="244"/>
        <v>0</v>
      </c>
      <c r="DC95" s="2" t="str">
        <f t="shared" si="245"/>
        <v>Soft</v>
      </c>
      <c r="DD95" s="2"/>
      <c r="DE95" s="2">
        <f t="shared" si="246"/>
        <v>0</v>
      </c>
      <c r="DF95" s="191" t="e">
        <f t="shared" si="247"/>
        <v>#DIV/0!</v>
      </c>
      <c r="DG95" s="191" t="e">
        <f t="shared" si="248"/>
        <v>#DIV/0!</v>
      </c>
      <c r="DH95" s="191" t="e">
        <f t="shared" si="249"/>
        <v>#DIV/0!</v>
      </c>
      <c r="DI95" s="191" t="e">
        <f t="shared" si="250"/>
        <v>#DIV/0!</v>
      </c>
      <c r="DJ95" s="191" t="e">
        <f t="shared" si="280"/>
        <v>#DIV/0!</v>
      </c>
      <c r="DK95" s="2"/>
      <c r="DL95" s="2"/>
      <c r="DM95" s="2"/>
      <c r="DN95" s="2">
        <f t="shared" si="251"/>
        <v>1</v>
      </c>
      <c r="DO95" s="191" t="e">
        <f t="shared" si="252"/>
        <v>#DIV/0!</v>
      </c>
      <c r="DP95" s="191" t="e">
        <f t="shared" si="253"/>
        <v>#DIV/0!</v>
      </c>
      <c r="DQ95" s="191" t="e">
        <f t="shared" si="254"/>
        <v>#DIV/0!</v>
      </c>
      <c r="DR95" s="191" t="e">
        <f t="shared" si="255"/>
        <v>#DIV/0!</v>
      </c>
      <c r="DS95" s="191" t="e">
        <f t="shared" si="256"/>
        <v>#DIV/0!</v>
      </c>
      <c r="DT95" s="191" t="e">
        <f t="shared" si="257"/>
        <v>#DIV/0!</v>
      </c>
      <c r="DU95" s="191">
        <f t="shared" si="258"/>
        <v>0</v>
      </c>
      <c r="DV95" s="2"/>
      <c r="DW95" s="2" t="b">
        <f t="shared" si="259"/>
        <v>1</v>
      </c>
      <c r="DX95" s="2" t="b">
        <f t="shared" si="260"/>
        <v>1</v>
      </c>
      <c r="DY95" s="2" t="b">
        <f t="shared" si="261"/>
        <v>1</v>
      </c>
      <c r="DZ95" s="2" t="b">
        <f t="shared" si="262"/>
        <v>1</v>
      </c>
      <c r="EA95" s="2" t="b">
        <f t="shared" si="263"/>
        <v>1</v>
      </c>
      <c r="EB95"/>
    </row>
    <row r="96" spans="1:132" s="108" customFormat="1" ht="18.5" hidden="1" thickBot="1" x14ac:dyDescent="0.45">
      <c r="A96" s="109"/>
      <c r="B96" s="88" t="str">
        <f t="shared" si="80"/>
        <v>-</v>
      </c>
      <c r="C96" s="118">
        <v>77</v>
      </c>
      <c r="D96" s="794"/>
      <c r="E96" s="795"/>
      <c r="F96" s="566"/>
      <c r="G96" s="567"/>
      <c r="H96" s="568"/>
      <c r="I96" s="558"/>
      <c r="J96" s="559"/>
      <c r="K96" s="560"/>
      <c r="L96" s="560"/>
      <c r="M96" s="560"/>
      <c r="N96" s="561"/>
      <c r="O96" s="562"/>
      <c r="P96" s="563"/>
      <c r="Q96" s="564"/>
      <c r="R96" s="565"/>
      <c r="S96" s="112" t="str">
        <f t="shared" si="191"/>
        <v/>
      </c>
      <c r="T96" s="113" t="str">
        <f t="shared" si="192"/>
        <v/>
      </c>
      <c r="U96" s="114">
        <f t="shared" si="193"/>
        <v>0</v>
      </c>
      <c r="V96" s="117" t="str">
        <f t="shared" si="194"/>
        <v/>
      </c>
      <c r="W96" s="234" t="str">
        <f t="shared" si="195"/>
        <v/>
      </c>
      <c r="X96" s="115">
        <f t="shared" si="184"/>
        <v>0</v>
      </c>
      <c r="Y96" s="116" t="str">
        <f t="shared" si="196"/>
        <v/>
      </c>
      <c r="Z96" s="111"/>
      <c r="AA96" s="2"/>
      <c r="AB96" s="2">
        <v>77</v>
      </c>
      <c r="AC96" s="22" t="str">
        <f t="shared" si="185"/>
        <v>-</v>
      </c>
      <c r="AD96" s="22">
        <f t="shared" si="186"/>
        <v>0</v>
      </c>
      <c r="AE96" s="22">
        <f t="shared" si="264"/>
        <v>0</v>
      </c>
      <c r="AF96" s="22"/>
      <c r="AG96" s="21">
        <f t="shared" si="265"/>
        <v>0</v>
      </c>
      <c r="AH96" s="6">
        <f t="shared" si="197"/>
        <v>0</v>
      </c>
      <c r="AI96" s="7">
        <f>IF(SUM(AH96:AH$99)=0,0,F96&gt;0)</f>
        <v>0</v>
      </c>
      <c r="AJ96" s="6">
        <f t="shared" si="198"/>
        <v>0</v>
      </c>
      <c r="AK96" s="7">
        <f>IF(SUM(AH96:AH$99)=0,0,AND(AI96=FALSE,AJ96=0,SUM(AJ96:AJ$99)&gt;0))</f>
        <v>0</v>
      </c>
      <c r="AL96" s="7">
        <f t="shared" si="266"/>
        <v>0</v>
      </c>
      <c r="AM96" s="7">
        <f t="shared" si="199"/>
        <v>0</v>
      </c>
      <c r="AN96" s="9">
        <f t="shared" si="200"/>
        <v>0</v>
      </c>
      <c r="AO96" s="9">
        <f t="shared" si="201"/>
        <v>0</v>
      </c>
      <c r="AP96" s="486">
        <f t="shared" si="202"/>
        <v>0</v>
      </c>
      <c r="AQ96" s="486">
        <f t="shared" si="267"/>
        <v>0</v>
      </c>
      <c r="AR96" s="7">
        <f t="shared" si="203"/>
        <v>0</v>
      </c>
      <c r="AS96" s="7" t="str">
        <f t="shared" si="268"/>
        <v/>
      </c>
      <c r="AT96" s="7">
        <f t="shared" si="204"/>
        <v>0</v>
      </c>
      <c r="AU96" s="485">
        <f t="shared" si="269"/>
        <v>0</v>
      </c>
      <c r="AV96" s="7">
        <f t="shared" si="205"/>
        <v>0</v>
      </c>
      <c r="AW96" s="7">
        <f t="shared" si="206"/>
        <v>0</v>
      </c>
      <c r="AX96" s="7">
        <f t="shared" si="207"/>
        <v>0</v>
      </c>
      <c r="AY96" s="484">
        <f t="shared" si="270"/>
        <v>0</v>
      </c>
      <c r="AZ96" s="7">
        <f t="shared" si="208"/>
        <v>0</v>
      </c>
      <c r="BA96" s="483">
        <f t="shared" si="271"/>
        <v>0</v>
      </c>
      <c r="BB96" s="487" t="str">
        <f t="shared" si="272"/>
        <v/>
      </c>
      <c r="BC96" s="487" t="str">
        <f t="shared" si="273"/>
        <v/>
      </c>
      <c r="BD96" s="7">
        <f t="shared" si="209"/>
        <v>0</v>
      </c>
      <c r="BE96" s="7">
        <f t="shared" si="210"/>
        <v>0</v>
      </c>
      <c r="BF96" s="7">
        <f t="shared" si="211"/>
        <v>0</v>
      </c>
      <c r="BG96" s="8" t="b">
        <f t="shared" si="212"/>
        <v>0</v>
      </c>
      <c r="BH96" s="235" t="str">
        <f t="shared" si="213"/>
        <v/>
      </c>
      <c r="BI96" s="75">
        <f t="shared" si="214"/>
        <v>0</v>
      </c>
      <c r="BJ96" s="15">
        <f t="shared" si="215"/>
        <v>0</v>
      </c>
      <c r="BK96" s="15">
        <f t="shared" si="187"/>
        <v>0</v>
      </c>
      <c r="BL96" s="18">
        <f t="shared" si="216"/>
        <v>0</v>
      </c>
      <c r="BM96" s="78">
        <f t="shared" si="217"/>
        <v>0</v>
      </c>
      <c r="BN96" s="14">
        <f t="shared" si="218"/>
        <v>0</v>
      </c>
      <c r="BO96" s="14">
        <f t="shared" si="219"/>
        <v>0</v>
      </c>
      <c r="BP96" s="15">
        <f t="shared" si="188"/>
        <v>0</v>
      </c>
      <c r="BQ96" s="73">
        <f t="shared" si="220"/>
        <v>0</v>
      </c>
      <c r="BR96" s="13"/>
      <c r="BS96" s="75">
        <f t="shared" si="281"/>
        <v>0</v>
      </c>
      <c r="BT96" s="15">
        <f t="shared" si="282"/>
        <v>0</v>
      </c>
      <c r="BU96" s="15">
        <f t="shared" si="283"/>
        <v>0</v>
      </c>
      <c r="BV96" s="17">
        <f t="shared" si="284"/>
        <v>0</v>
      </c>
      <c r="BW96" s="72">
        <f t="shared" si="221"/>
        <v>0</v>
      </c>
      <c r="BX96" s="14">
        <f t="shared" si="222"/>
        <v>0</v>
      </c>
      <c r="BY96" s="15">
        <f t="shared" si="189"/>
        <v>0</v>
      </c>
      <c r="BZ96" s="14">
        <f t="shared" si="274"/>
        <v>0</v>
      </c>
      <c r="CA96" s="73">
        <f t="shared" si="223"/>
        <v>0</v>
      </c>
      <c r="CB96" s="192" t="e">
        <f t="shared" si="224"/>
        <v>#DIV/0!</v>
      </c>
      <c r="CC96" s="72" t="e">
        <f t="shared" si="225"/>
        <v>#DIV/0!</v>
      </c>
      <c r="CD96" s="14">
        <f t="shared" si="226"/>
        <v>0</v>
      </c>
      <c r="CE96" s="19">
        <f t="shared" si="275"/>
        <v>0</v>
      </c>
      <c r="CF96" s="19">
        <f t="shared" si="227"/>
        <v>0</v>
      </c>
      <c r="CG96" s="20" t="e">
        <f t="shared" si="228"/>
        <v>#DIV/0!</v>
      </c>
      <c r="CH96" s="20" t="e">
        <f t="shared" si="229"/>
        <v>#DIV/0!</v>
      </c>
      <c r="CI96" s="83" t="e">
        <f t="shared" si="190"/>
        <v>#DIV/0!</v>
      </c>
      <c r="CJ96" s="77" t="e">
        <f t="shared" si="230"/>
        <v>#DIV/0!</v>
      </c>
      <c r="CK96" s="2" t="e">
        <f t="shared" si="276"/>
        <v>#DIV/0!</v>
      </c>
      <c r="CL96" s="2" t="str">
        <f t="shared" si="231"/>
        <v/>
      </c>
      <c r="CM96" s="231" t="e">
        <f t="shared" si="277"/>
        <v>#DIV/0!</v>
      </c>
      <c r="CN96" s="233" t="e">
        <f t="shared" si="278"/>
        <v>#DIV/0!</v>
      </c>
      <c r="CO96" s="233">
        <f t="shared" si="279"/>
        <v>0</v>
      </c>
      <c r="CP96" s="2">
        <f t="shared" si="232"/>
        <v>1</v>
      </c>
      <c r="CQ96" s="2">
        <f t="shared" si="233"/>
        <v>1</v>
      </c>
      <c r="CR96" s="2" t="str">
        <f t="shared" si="234"/>
        <v/>
      </c>
      <c r="CS96" s="2">
        <f t="shared" si="235"/>
        <v>0</v>
      </c>
      <c r="CT96" s="191">
        <f t="shared" si="236"/>
        <v>0</v>
      </c>
      <c r="CU96" s="2" t="str">
        <f t="shared" si="237"/>
        <v>OK</v>
      </c>
      <c r="CV96" s="232">
        <f t="shared" si="238"/>
        <v>0.05</v>
      </c>
      <c r="CW96" s="191" t="e">
        <f t="shared" si="239"/>
        <v>#DIV/0!</v>
      </c>
      <c r="CX96" s="191" t="e">
        <f t="shared" si="240"/>
        <v>#DIV/0!</v>
      </c>
      <c r="CY96" s="191" t="e">
        <f t="shared" si="241"/>
        <v>#DIV/0!</v>
      </c>
      <c r="CZ96" s="191" t="e">
        <f t="shared" si="242"/>
        <v>#DIV/0!</v>
      </c>
      <c r="DA96" s="191">
        <f t="shared" si="243"/>
        <v>1</v>
      </c>
      <c r="DB96" s="191">
        <f t="shared" si="244"/>
        <v>0</v>
      </c>
      <c r="DC96" s="2" t="str">
        <f t="shared" si="245"/>
        <v>Soft</v>
      </c>
      <c r="DD96" s="2"/>
      <c r="DE96" s="2">
        <f t="shared" si="246"/>
        <v>0</v>
      </c>
      <c r="DF96" s="191" t="e">
        <f t="shared" si="247"/>
        <v>#DIV/0!</v>
      </c>
      <c r="DG96" s="191" t="e">
        <f t="shared" si="248"/>
        <v>#DIV/0!</v>
      </c>
      <c r="DH96" s="191" t="e">
        <f t="shared" si="249"/>
        <v>#DIV/0!</v>
      </c>
      <c r="DI96" s="191" t="e">
        <f t="shared" si="250"/>
        <v>#DIV/0!</v>
      </c>
      <c r="DJ96" s="191" t="e">
        <f t="shared" si="280"/>
        <v>#DIV/0!</v>
      </c>
      <c r="DK96" s="2"/>
      <c r="DL96" s="2"/>
      <c r="DM96" s="2"/>
      <c r="DN96" s="2">
        <f t="shared" si="251"/>
        <v>1</v>
      </c>
      <c r="DO96" s="191" t="e">
        <f t="shared" si="252"/>
        <v>#DIV/0!</v>
      </c>
      <c r="DP96" s="191" t="e">
        <f t="shared" si="253"/>
        <v>#DIV/0!</v>
      </c>
      <c r="DQ96" s="191" t="e">
        <f t="shared" si="254"/>
        <v>#DIV/0!</v>
      </c>
      <c r="DR96" s="191" t="e">
        <f t="shared" si="255"/>
        <v>#DIV/0!</v>
      </c>
      <c r="DS96" s="191" t="e">
        <f t="shared" si="256"/>
        <v>#DIV/0!</v>
      </c>
      <c r="DT96" s="191" t="e">
        <f t="shared" si="257"/>
        <v>#DIV/0!</v>
      </c>
      <c r="DU96" s="191">
        <f t="shared" si="258"/>
        <v>0</v>
      </c>
      <c r="DV96" s="2"/>
      <c r="DW96" s="2" t="b">
        <f t="shared" si="259"/>
        <v>1</v>
      </c>
      <c r="DX96" s="2" t="b">
        <f t="shared" si="260"/>
        <v>1</v>
      </c>
      <c r="DY96" s="2" t="b">
        <f t="shared" si="261"/>
        <v>1</v>
      </c>
      <c r="DZ96" s="2" t="b">
        <f t="shared" si="262"/>
        <v>1</v>
      </c>
      <c r="EA96" s="2" t="b">
        <f t="shared" si="263"/>
        <v>1</v>
      </c>
      <c r="EB96"/>
    </row>
    <row r="97" spans="1:132" s="108" customFormat="1" ht="18.5" hidden="1" thickBot="1" x14ac:dyDescent="0.45">
      <c r="A97" s="109"/>
      <c r="B97" s="88" t="str">
        <f t="shared" si="80"/>
        <v>-</v>
      </c>
      <c r="C97" s="118">
        <v>78</v>
      </c>
      <c r="D97" s="794"/>
      <c r="E97" s="795"/>
      <c r="F97" s="566"/>
      <c r="G97" s="567"/>
      <c r="H97" s="568"/>
      <c r="I97" s="558"/>
      <c r="J97" s="559"/>
      <c r="K97" s="560"/>
      <c r="L97" s="560"/>
      <c r="M97" s="560"/>
      <c r="N97" s="561"/>
      <c r="O97" s="562"/>
      <c r="P97" s="563"/>
      <c r="Q97" s="564"/>
      <c r="R97" s="565"/>
      <c r="S97" s="112" t="str">
        <f t="shared" si="191"/>
        <v/>
      </c>
      <c r="T97" s="113" t="str">
        <f t="shared" si="192"/>
        <v/>
      </c>
      <c r="U97" s="114">
        <f t="shared" si="193"/>
        <v>0</v>
      </c>
      <c r="V97" s="117" t="str">
        <f t="shared" si="194"/>
        <v/>
      </c>
      <c r="W97" s="234" t="str">
        <f t="shared" si="195"/>
        <v/>
      </c>
      <c r="X97" s="115">
        <f t="shared" si="184"/>
        <v>0</v>
      </c>
      <c r="Y97" s="116" t="str">
        <f t="shared" si="196"/>
        <v/>
      </c>
      <c r="Z97" s="111"/>
      <c r="AA97" s="2"/>
      <c r="AB97" s="2">
        <v>78</v>
      </c>
      <c r="AC97" s="22" t="str">
        <f t="shared" si="185"/>
        <v>-</v>
      </c>
      <c r="AD97" s="22">
        <f t="shared" si="186"/>
        <v>0</v>
      </c>
      <c r="AE97" s="22">
        <f t="shared" si="264"/>
        <v>0</v>
      </c>
      <c r="AF97" s="22"/>
      <c r="AG97" s="21">
        <f t="shared" si="265"/>
        <v>0</v>
      </c>
      <c r="AH97" s="6">
        <f t="shared" si="197"/>
        <v>0</v>
      </c>
      <c r="AI97" s="7">
        <f>IF(SUM(AH97:AH$99)=0,0,F97&gt;0)</f>
        <v>0</v>
      </c>
      <c r="AJ97" s="6">
        <f t="shared" si="198"/>
        <v>0</v>
      </c>
      <c r="AK97" s="7">
        <f>IF(SUM(AH97:AH$99)=0,0,AND(AI97=FALSE,AJ97=0,SUM(AJ97:AJ$99)&gt;0))</f>
        <v>0</v>
      </c>
      <c r="AL97" s="7">
        <f t="shared" si="266"/>
        <v>0</v>
      </c>
      <c r="AM97" s="7">
        <f t="shared" si="199"/>
        <v>0</v>
      </c>
      <c r="AN97" s="9">
        <f t="shared" si="200"/>
        <v>0</v>
      </c>
      <c r="AO97" s="9">
        <f t="shared" si="201"/>
        <v>0</v>
      </c>
      <c r="AP97" s="486">
        <f t="shared" si="202"/>
        <v>0</v>
      </c>
      <c r="AQ97" s="486">
        <f t="shared" si="267"/>
        <v>0</v>
      </c>
      <c r="AR97" s="7">
        <f t="shared" si="203"/>
        <v>0</v>
      </c>
      <c r="AS97" s="7" t="str">
        <f t="shared" si="268"/>
        <v/>
      </c>
      <c r="AT97" s="7">
        <f t="shared" si="204"/>
        <v>0</v>
      </c>
      <c r="AU97" s="485">
        <f t="shared" si="269"/>
        <v>0</v>
      </c>
      <c r="AV97" s="7">
        <f t="shared" si="205"/>
        <v>0</v>
      </c>
      <c r="AW97" s="7">
        <f t="shared" si="206"/>
        <v>0</v>
      </c>
      <c r="AX97" s="7">
        <f t="shared" si="207"/>
        <v>0</v>
      </c>
      <c r="AY97" s="484">
        <f t="shared" si="270"/>
        <v>0</v>
      </c>
      <c r="AZ97" s="7">
        <f t="shared" si="208"/>
        <v>0</v>
      </c>
      <c r="BA97" s="483">
        <f t="shared" si="271"/>
        <v>0</v>
      </c>
      <c r="BB97" s="487" t="str">
        <f t="shared" si="272"/>
        <v/>
      </c>
      <c r="BC97" s="487" t="str">
        <f t="shared" si="273"/>
        <v/>
      </c>
      <c r="BD97" s="7">
        <f t="shared" si="209"/>
        <v>0</v>
      </c>
      <c r="BE97" s="7">
        <f t="shared" si="210"/>
        <v>0</v>
      </c>
      <c r="BF97" s="7">
        <f t="shared" si="211"/>
        <v>0</v>
      </c>
      <c r="BG97" s="8" t="b">
        <f t="shared" si="212"/>
        <v>0</v>
      </c>
      <c r="BH97" s="235" t="str">
        <f t="shared" si="213"/>
        <v/>
      </c>
      <c r="BI97" s="75">
        <f t="shared" si="214"/>
        <v>0</v>
      </c>
      <c r="BJ97" s="15">
        <f t="shared" si="215"/>
        <v>0</v>
      </c>
      <c r="BK97" s="15">
        <f t="shared" si="187"/>
        <v>0</v>
      </c>
      <c r="BL97" s="18">
        <f t="shared" si="216"/>
        <v>0</v>
      </c>
      <c r="BM97" s="78">
        <f t="shared" si="217"/>
        <v>0</v>
      </c>
      <c r="BN97" s="14">
        <f t="shared" si="218"/>
        <v>0</v>
      </c>
      <c r="BO97" s="14">
        <f t="shared" si="219"/>
        <v>0</v>
      </c>
      <c r="BP97" s="15">
        <f t="shared" si="188"/>
        <v>0</v>
      </c>
      <c r="BQ97" s="73">
        <f t="shared" si="220"/>
        <v>0</v>
      </c>
      <c r="BR97" s="13"/>
      <c r="BS97" s="75">
        <f t="shared" si="281"/>
        <v>0</v>
      </c>
      <c r="BT97" s="15">
        <f t="shared" si="282"/>
        <v>0</v>
      </c>
      <c r="BU97" s="15">
        <f t="shared" si="283"/>
        <v>0</v>
      </c>
      <c r="BV97" s="17">
        <f t="shared" si="284"/>
        <v>0</v>
      </c>
      <c r="BW97" s="72">
        <f t="shared" si="221"/>
        <v>0</v>
      </c>
      <c r="BX97" s="14">
        <f t="shared" si="222"/>
        <v>0</v>
      </c>
      <c r="BY97" s="15">
        <f t="shared" si="189"/>
        <v>0</v>
      </c>
      <c r="BZ97" s="14">
        <f t="shared" si="274"/>
        <v>0</v>
      </c>
      <c r="CA97" s="73">
        <f t="shared" si="223"/>
        <v>0</v>
      </c>
      <c r="CB97" s="192" t="e">
        <f t="shared" si="224"/>
        <v>#DIV/0!</v>
      </c>
      <c r="CC97" s="72" t="e">
        <f t="shared" si="225"/>
        <v>#DIV/0!</v>
      </c>
      <c r="CD97" s="14">
        <f t="shared" si="226"/>
        <v>0</v>
      </c>
      <c r="CE97" s="19">
        <f t="shared" si="275"/>
        <v>0</v>
      </c>
      <c r="CF97" s="19">
        <f t="shared" si="227"/>
        <v>0</v>
      </c>
      <c r="CG97" s="20" t="e">
        <f t="shared" si="228"/>
        <v>#DIV/0!</v>
      </c>
      <c r="CH97" s="20" t="e">
        <f t="shared" si="229"/>
        <v>#DIV/0!</v>
      </c>
      <c r="CI97" s="83" t="e">
        <f t="shared" si="190"/>
        <v>#DIV/0!</v>
      </c>
      <c r="CJ97" s="77" t="e">
        <f t="shared" si="230"/>
        <v>#DIV/0!</v>
      </c>
      <c r="CK97" s="2" t="e">
        <f t="shared" si="276"/>
        <v>#DIV/0!</v>
      </c>
      <c r="CL97" s="2" t="str">
        <f t="shared" si="231"/>
        <v/>
      </c>
      <c r="CM97" s="231" t="e">
        <f t="shared" si="277"/>
        <v>#DIV/0!</v>
      </c>
      <c r="CN97" s="233" t="e">
        <f t="shared" si="278"/>
        <v>#DIV/0!</v>
      </c>
      <c r="CO97" s="233">
        <f t="shared" si="279"/>
        <v>0</v>
      </c>
      <c r="CP97" s="2">
        <f t="shared" si="232"/>
        <v>1</v>
      </c>
      <c r="CQ97" s="2">
        <f t="shared" si="233"/>
        <v>1</v>
      </c>
      <c r="CR97" s="2" t="str">
        <f t="shared" si="234"/>
        <v/>
      </c>
      <c r="CS97" s="2">
        <f t="shared" si="235"/>
        <v>0</v>
      </c>
      <c r="CT97" s="191">
        <f t="shared" si="236"/>
        <v>0</v>
      </c>
      <c r="CU97" s="2" t="str">
        <f t="shared" si="237"/>
        <v>OK</v>
      </c>
      <c r="CV97" s="232">
        <f t="shared" si="238"/>
        <v>0.05</v>
      </c>
      <c r="CW97" s="191" t="e">
        <f t="shared" si="239"/>
        <v>#DIV/0!</v>
      </c>
      <c r="CX97" s="191" t="e">
        <f t="shared" si="240"/>
        <v>#DIV/0!</v>
      </c>
      <c r="CY97" s="191" t="e">
        <f t="shared" si="241"/>
        <v>#DIV/0!</v>
      </c>
      <c r="CZ97" s="191" t="e">
        <f t="shared" si="242"/>
        <v>#DIV/0!</v>
      </c>
      <c r="DA97" s="191">
        <f t="shared" si="243"/>
        <v>1</v>
      </c>
      <c r="DB97" s="191">
        <f t="shared" si="244"/>
        <v>0</v>
      </c>
      <c r="DC97" s="2" t="str">
        <f t="shared" si="245"/>
        <v>Soft</v>
      </c>
      <c r="DD97" s="2"/>
      <c r="DE97" s="2">
        <f t="shared" si="246"/>
        <v>0</v>
      </c>
      <c r="DF97" s="191" t="e">
        <f t="shared" si="247"/>
        <v>#DIV/0!</v>
      </c>
      <c r="DG97" s="191" t="e">
        <f t="shared" si="248"/>
        <v>#DIV/0!</v>
      </c>
      <c r="DH97" s="191" t="e">
        <f t="shared" si="249"/>
        <v>#DIV/0!</v>
      </c>
      <c r="DI97" s="191" t="e">
        <f t="shared" si="250"/>
        <v>#DIV/0!</v>
      </c>
      <c r="DJ97" s="191" t="e">
        <f t="shared" si="280"/>
        <v>#DIV/0!</v>
      </c>
      <c r="DK97" s="2"/>
      <c r="DL97" s="2"/>
      <c r="DM97" s="2"/>
      <c r="DN97" s="2">
        <f t="shared" si="251"/>
        <v>1</v>
      </c>
      <c r="DO97" s="191" t="e">
        <f t="shared" si="252"/>
        <v>#DIV/0!</v>
      </c>
      <c r="DP97" s="191" t="e">
        <f t="shared" si="253"/>
        <v>#DIV/0!</v>
      </c>
      <c r="DQ97" s="191" t="e">
        <f t="shared" si="254"/>
        <v>#DIV/0!</v>
      </c>
      <c r="DR97" s="191" t="e">
        <f t="shared" si="255"/>
        <v>#DIV/0!</v>
      </c>
      <c r="DS97" s="191" t="e">
        <f t="shared" si="256"/>
        <v>#DIV/0!</v>
      </c>
      <c r="DT97" s="191" t="e">
        <f t="shared" si="257"/>
        <v>#DIV/0!</v>
      </c>
      <c r="DU97" s="191">
        <f t="shared" si="258"/>
        <v>0</v>
      </c>
      <c r="DV97" s="2"/>
      <c r="DW97" s="2" t="b">
        <f t="shared" si="259"/>
        <v>1</v>
      </c>
      <c r="DX97" s="2" t="b">
        <f t="shared" si="260"/>
        <v>1</v>
      </c>
      <c r="DY97" s="2" t="b">
        <f t="shared" si="261"/>
        <v>1</v>
      </c>
      <c r="DZ97" s="2" t="b">
        <f t="shared" si="262"/>
        <v>1</v>
      </c>
      <c r="EA97" s="2" t="b">
        <f t="shared" si="263"/>
        <v>1</v>
      </c>
      <c r="EB97"/>
    </row>
    <row r="98" spans="1:132" s="108" customFormat="1" ht="18.5" hidden="1" thickBot="1" x14ac:dyDescent="0.45">
      <c r="A98" s="109"/>
      <c r="B98" s="88" t="str">
        <f t="shared" si="80"/>
        <v>-</v>
      </c>
      <c r="C98" s="118">
        <v>79</v>
      </c>
      <c r="D98" s="794"/>
      <c r="E98" s="795"/>
      <c r="F98" s="566"/>
      <c r="G98" s="567"/>
      <c r="H98" s="568"/>
      <c r="I98" s="558"/>
      <c r="J98" s="559"/>
      <c r="K98" s="560"/>
      <c r="L98" s="560"/>
      <c r="M98" s="560"/>
      <c r="N98" s="561"/>
      <c r="O98" s="562"/>
      <c r="P98" s="563"/>
      <c r="Q98" s="564"/>
      <c r="R98" s="565"/>
      <c r="S98" s="112" t="str">
        <f t="shared" si="191"/>
        <v/>
      </c>
      <c r="T98" s="113" t="str">
        <f t="shared" si="192"/>
        <v/>
      </c>
      <c r="U98" s="114">
        <f t="shared" si="193"/>
        <v>0</v>
      </c>
      <c r="V98" s="117" t="str">
        <f t="shared" si="194"/>
        <v/>
      </c>
      <c r="W98" s="234" t="str">
        <f t="shared" si="195"/>
        <v/>
      </c>
      <c r="X98" s="115">
        <f t="shared" si="184"/>
        <v>0</v>
      </c>
      <c r="Y98" s="116" t="str">
        <f t="shared" si="196"/>
        <v/>
      </c>
      <c r="Z98" s="111"/>
      <c r="AA98" s="2"/>
      <c r="AB98" s="2">
        <v>79</v>
      </c>
      <c r="AC98" s="22" t="str">
        <f t="shared" si="185"/>
        <v>-</v>
      </c>
      <c r="AD98" s="22">
        <f t="shared" si="186"/>
        <v>0</v>
      </c>
      <c r="AE98" s="22">
        <f t="shared" si="264"/>
        <v>0</v>
      </c>
      <c r="AF98" s="22"/>
      <c r="AG98" s="21">
        <f t="shared" si="265"/>
        <v>0</v>
      </c>
      <c r="AH98" s="6">
        <f t="shared" si="197"/>
        <v>0</v>
      </c>
      <c r="AI98" s="7">
        <f>IF(SUM(AH98:AH$99)=0,0,F98&gt;0)</f>
        <v>0</v>
      </c>
      <c r="AJ98" s="6">
        <f t="shared" si="198"/>
        <v>0</v>
      </c>
      <c r="AK98" s="7">
        <f>IF(SUM(AH98:AH$99)=0,0,AND(AI98=FALSE,AJ98=0,SUM(AJ98:AJ$99)&gt;0))</f>
        <v>0</v>
      </c>
      <c r="AL98" s="7">
        <f t="shared" si="266"/>
        <v>0</v>
      </c>
      <c r="AM98" s="7">
        <f t="shared" si="199"/>
        <v>0</v>
      </c>
      <c r="AN98" s="9">
        <f t="shared" si="200"/>
        <v>0</v>
      </c>
      <c r="AO98" s="9">
        <f t="shared" si="201"/>
        <v>0</v>
      </c>
      <c r="AP98" s="486">
        <f t="shared" si="202"/>
        <v>0</v>
      </c>
      <c r="AQ98" s="486">
        <f t="shared" si="267"/>
        <v>0</v>
      </c>
      <c r="AR98" s="7">
        <f t="shared" si="203"/>
        <v>0</v>
      </c>
      <c r="AS98" s="7" t="str">
        <f t="shared" si="268"/>
        <v/>
      </c>
      <c r="AT98" s="7">
        <f t="shared" si="204"/>
        <v>0</v>
      </c>
      <c r="AU98" s="485">
        <f t="shared" si="269"/>
        <v>0</v>
      </c>
      <c r="AV98" s="7">
        <f t="shared" si="205"/>
        <v>0</v>
      </c>
      <c r="AW98" s="7">
        <f t="shared" si="206"/>
        <v>0</v>
      </c>
      <c r="AX98" s="7">
        <f t="shared" si="207"/>
        <v>0</v>
      </c>
      <c r="AY98" s="484">
        <f t="shared" si="270"/>
        <v>0</v>
      </c>
      <c r="AZ98" s="7">
        <f t="shared" si="208"/>
        <v>0</v>
      </c>
      <c r="BA98" s="483">
        <f t="shared" si="271"/>
        <v>0</v>
      </c>
      <c r="BB98" s="487" t="str">
        <f t="shared" si="272"/>
        <v/>
      </c>
      <c r="BC98" s="487" t="str">
        <f t="shared" si="273"/>
        <v/>
      </c>
      <c r="BD98" s="7">
        <f t="shared" si="209"/>
        <v>0</v>
      </c>
      <c r="BE98" s="7">
        <f t="shared" si="210"/>
        <v>0</v>
      </c>
      <c r="BF98" s="7">
        <f t="shared" si="211"/>
        <v>0</v>
      </c>
      <c r="BG98" s="8" t="b">
        <f t="shared" si="212"/>
        <v>0</v>
      </c>
      <c r="BH98" s="235" t="str">
        <f t="shared" si="213"/>
        <v/>
      </c>
      <c r="BI98" s="75">
        <f t="shared" si="214"/>
        <v>0</v>
      </c>
      <c r="BJ98" s="15">
        <f t="shared" si="215"/>
        <v>0</v>
      </c>
      <c r="BK98" s="15">
        <f t="shared" si="187"/>
        <v>0</v>
      </c>
      <c r="BL98" s="18">
        <f t="shared" si="216"/>
        <v>0</v>
      </c>
      <c r="BM98" s="78">
        <f t="shared" si="217"/>
        <v>0</v>
      </c>
      <c r="BN98" s="14">
        <f t="shared" si="218"/>
        <v>0</v>
      </c>
      <c r="BO98" s="14">
        <f t="shared" si="219"/>
        <v>0</v>
      </c>
      <c r="BP98" s="15">
        <f t="shared" si="188"/>
        <v>0</v>
      </c>
      <c r="BQ98" s="73">
        <f t="shared" si="220"/>
        <v>0</v>
      </c>
      <c r="BR98" s="13"/>
      <c r="BS98" s="75">
        <f t="shared" si="281"/>
        <v>0</v>
      </c>
      <c r="BT98" s="15">
        <f t="shared" si="282"/>
        <v>0</v>
      </c>
      <c r="BU98" s="15">
        <f t="shared" si="283"/>
        <v>0</v>
      </c>
      <c r="BV98" s="17">
        <f t="shared" si="284"/>
        <v>0</v>
      </c>
      <c r="BW98" s="72">
        <f t="shared" si="221"/>
        <v>0</v>
      </c>
      <c r="BX98" s="14">
        <f t="shared" si="222"/>
        <v>0</v>
      </c>
      <c r="BY98" s="15">
        <f t="shared" si="189"/>
        <v>0</v>
      </c>
      <c r="BZ98" s="14">
        <f t="shared" si="274"/>
        <v>0</v>
      </c>
      <c r="CA98" s="73">
        <f t="shared" si="223"/>
        <v>0</v>
      </c>
      <c r="CB98" s="192" t="e">
        <f t="shared" si="224"/>
        <v>#DIV/0!</v>
      </c>
      <c r="CC98" s="72" t="e">
        <f t="shared" si="225"/>
        <v>#DIV/0!</v>
      </c>
      <c r="CD98" s="14">
        <f t="shared" si="226"/>
        <v>0</v>
      </c>
      <c r="CE98" s="19">
        <f t="shared" si="275"/>
        <v>0</v>
      </c>
      <c r="CF98" s="19">
        <f t="shared" si="227"/>
        <v>0</v>
      </c>
      <c r="CG98" s="20" t="e">
        <f t="shared" si="228"/>
        <v>#DIV/0!</v>
      </c>
      <c r="CH98" s="20" t="e">
        <f t="shared" si="229"/>
        <v>#DIV/0!</v>
      </c>
      <c r="CI98" s="83" t="e">
        <f t="shared" si="190"/>
        <v>#DIV/0!</v>
      </c>
      <c r="CJ98" s="77" t="e">
        <f t="shared" si="230"/>
        <v>#DIV/0!</v>
      </c>
      <c r="CK98" s="2" t="e">
        <f t="shared" si="276"/>
        <v>#DIV/0!</v>
      </c>
      <c r="CL98" s="2" t="str">
        <f t="shared" si="231"/>
        <v/>
      </c>
      <c r="CM98" s="231" t="e">
        <f t="shared" si="277"/>
        <v>#DIV/0!</v>
      </c>
      <c r="CN98" s="233" t="e">
        <f t="shared" si="278"/>
        <v>#DIV/0!</v>
      </c>
      <c r="CO98" s="233">
        <f t="shared" si="279"/>
        <v>0</v>
      </c>
      <c r="CP98" s="2">
        <f t="shared" si="232"/>
        <v>1</v>
      </c>
      <c r="CQ98" s="2">
        <f t="shared" si="233"/>
        <v>1</v>
      </c>
      <c r="CR98" s="2" t="str">
        <f t="shared" si="234"/>
        <v/>
      </c>
      <c r="CS98" s="2">
        <f t="shared" si="235"/>
        <v>0</v>
      </c>
      <c r="CT98" s="191">
        <f t="shared" si="236"/>
        <v>0</v>
      </c>
      <c r="CU98" s="2" t="str">
        <f t="shared" si="237"/>
        <v>OK</v>
      </c>
      <c r="CV98" s="232">
        <f t="shared" si="238"/>
        <v>0.05</v>
      </c>
      <c r="CW98" s="191" t="e">
        <f t="shared" si="239"/>
        <v>#DIV/0!</v>
      </c>
      <c r="CX98" s="191" t="e">
        <f t="shared" si="240"/>
        <v>#DIV/0!</v>
      </c>
      <c r="CY98" s="191" t="e">
        <f t="shared" si="241"/>
        <v>#DIV/0!</v>
      </c>
      <c r="CZ98" s="191" t="e">
        <f t="shared" si="242"/>
        <v>#DIV/0!</v>
      </c>
      <c r="DA98" s="191">
        <f t="shared" si="243"/>
        <v>1</v>
      </c>
      <c r="DB98" s="191">
        <f t="shared" si="244"/>
        <v>0</v>
      </c>
      <c r="DC98" s="2" t="str">
        <f t="shared" si="245"/>
        <v>Soft</v>
      </c>
      <c r="DD98" s="2"/>
      <c r="DE98" s="2">
        <f t="shared" si="246"/>
        <v>0</v>
      </c>
      <c r="DF98" s="191" t="e">
        <f t="shared" si="247"/>
        <v>#DIV/0!</v>
      </c>
      <c r="DG98" s="191" t="e">
        <f t="shared" si="248"/>
        <v>#DIV/0!</v>
      </c>
      <c r="DH98" s="191" t="e">
        <f t="shared" si="249"/>
        <v>#DIV/0!</v>
      </c>
      <c r="DI98" s="191" t="e">
        <f t="shared" si="250"/>
        <v>#DIV/0!</v>
      </c>
      <c r="DJ98" s="191" t="e">
        <f t="shared" si="280"/>
        <v>#DIV/0!</v>
      </c>
      <c r="DK98" s="2"/>
      <c r="DL98" s="2"/>
      <c r="DM98" s="2"/>
      <c r="DN98" s="2">
        <f t="shared" si="251"/>
        <v>1</v>
      </c>
      <c r="DO98" s="191" t="e">
        <f t="shared" si="252"/>
        <v>#DIV/0!</v>
      </c>
      <c r="DP98" s="191" t="e">
        <f t="shared" si="253"/>
        <v>#DIV/0!</v>
      </c>
      <c r="DQ98" s="191" t="e">
        <f t="shared" si="254"/>
        <v>#DIV/0!</v>
      </c>
      <c r="DR98" s="191" t="e">
        <f t="shared" si="255"/>
        <v>#DIV/0!</v>
      </c>
      <c r="DS98" s="191" t="e">
        <f t="shared" si="256"/>
        <v>#DIV/0!</v>
      </c>
      <c r="DT98" s="191" t="e">
        <f t="shared" si="257"/>
        <v>#DIV/0!</v>
      </c>
      <c r="DU98" s="191">
        <f t="shared" si="258"/>
        <v>0</v>
      </c>
      <c r="DV98" s="2"/>
      <c r="DW98" s="2" t="b">
        <f t="shared" si="259"/>
        <v>1</v>
      </c>
      <c r="DX98" s="2" t="b">
        <f t="shared" si="260"/>
        <v>1</v>
      </c>
      <c r="DY98" s="2" t="b">
        <f t="shared" si="261"/>
        <v>1</v>
      </c>
      <c r="DZ98" s="2" t="b">
        <f t="shared" si="262"/>
        <v>1</v>
      </c>
      <c r="EA98" s="2" t="b">
        <f t="shared" si="263"/>
        <v>1</v>
      </c>
      <c r="EB98"/>
    </row>
    <row r="99" spans="1:132" s="108" customFormat="1" ht="18.5" hidden="1" thickBot="1" x14ac:dyDescent="0.45">
      <c r="A99" s="109"/>
      <c r="B99" s="88" t="str">
        <f t="shared" si="80"/>
        <v>-</v>
      </c>
      <c r="C99" s="118">
        <v>80</v>
      </c>
      <c r="D99" s="802"/>
      <c r="E99" s="803"/>
      <c r="F99" s="569"/>
      <c r="G99" s="570"/>
      <c r="H99" s="571"/>
      <c r="I99" s="572"/>
      <c r="J99" s="573"/>
      <c r="K99" s="574"/>
      <c r="L99" s="574"/>
      <c r="M99" s="574"/>
      <c r="N99" s="575"/>
      <c r="O99" s="576"/>
      <c r="P99" s="577"/>
      <c r="Q99" s="578"/>
      <c r="R99" s="579"/>
      <c r="S99" s="537" t="str">
        <f t="shared" si="191"/>
        <v/>
      </c>
      <c r="T99" s="538" t="str">
        <f t="shared" si="192"/>
        <v/>
      </c>
      <c r="U99" s="539">
        <f t="shared" si="193"/>
        <v>0</v>
      </c>
      <c r="V99" s="540" t="str">
        <f t="shared" si="194"/>
        <v/>
      </c>
      <c r="W99" s="541" t="str">
        <f t="shared" si="195"/>
        <v/>
      </c>
      <c r="X99" s="542">
        <f t="shared" si="7"/>
        <v>0</v>
      </c>
      <c r="Y99" s="543" t="str">
        <f t="shared" si="196"/>
        <v/>
      </c>
      <c r="Z99" s="111"/>
      <c r="AA99" s="2"/>
      <c r="AB99" s="2">
        <v>80</v>
      </c>
      <c r="AC99" s="22" t="str">
        <f t="shared" si="185"/>
        <v>-</v>
      </c>
      <c r="AD99" s="22">
        <f t="shared" si="186"/>
        <v>0</v>
      </c>
      <c r="AE99" s="22">
        <f t="shared" si="264"/>
        <v>0</v>
      </c>
      <c r="AF99" s="22"/>
      <c r="AG99" s="21">
        <f t="shared" si="265"/>
        <v>0</v>
      </c>
      <c r="AH99" s="81">
        <f t="shared" si="197"/>
        <v>0</v>
      </c>
      <c r="AI99" s="82">
        <f>IF(SUM(AH99:AH$99)=0,0,F99&gt;0)</f>
        <v>0</v>
      </c>
      <c r="AJ99" s="81">
        <f t="shared" si="198"/>
        <v>0</v>
      </c>
      <c r="AK99" s="10">
        <f>IF(SUM(AH99:AH$99)=0,0,AND(AI99=FALSE,AJ99=0,SUM(AJ99:AJ$99)&gt;0))</f>
        <v>0</v>
      </c>
      <c r="AL99" s="10">
        <f t="shared" si="266"/>
        <v>0</v>
      </c>
      <c r="AM99" s="10">
        <f t="shared" si="199"/>
        <v>0</v>
      </c>
      <c r="AN99" s="12">
        <f t="shared" si="200"/>
        <v>0</v>
      </c>
      <c r="AO99" s="12">
        <f t="shared" si="201"/>
        <v>0</v>
      </c>
      <c r="AP99" s="486">
        <f t="shared" si="202"/>
        <v>0</v>
      </c>
      <c r="AQ99" s="486">
        <f t="shared" si="267"/>
        <v>0</v>
      </c>
      <c r="AR99" s="10">
        <f t="shared" si="203"/>
        <v>0</v>
      </c>
      <c r="AS99" s="10" t="str">
        <f t="shared" si="268"/>
        <v/>
      </c>
      <c r="AT99" s="10">
        <f t="shared" si="204"/>
        <v>0</v>
      </c>
      <c r="AU99" s="485">
        <f t="shared" si="269"/>
        <v>0</v>
      </c>
      <c r="AV99" s="10">
        <f t="shared" si="205"/>
        <v>0</v>
      </c>
      <c r="AW99" s="10">
        <f t="shared" si="206"/>
        <v>0</v>
      </c>
      <c r="AX99" s="10">
        <f t="shared" si="207"/>
        <v>0</v>
      </c>
      <c r="AY99" s="484">
        <f t="shared" si="270"/>
        <v>0</v>
      </c>
      <c r="AZ99" s="10">
        <f t="shared" si="208"/>
        <v>0</v>
      </c>
      <c r="BA99" s="483">
        <f t="shared" si="271"/>
        <v>0</v>
      </c>
      <c r="BB99" s="487" t="str">
        <f t="shared" si="272"/>
        <v/>
      </c>
      <c r="BC99" s="487" t="str">
        <f t="shared" si="273"/>
        <v/>
      </c>
      <c r="BD99" s="10">
        <f t="shared" si="209"/>
        <v>0</v>
      </c>
      <c r="BE99" s="10">
        <f t="shared" si="210"/>
        <v>0</v>
      </c>
      <c r="BF99" s="10">
        <f t="shared" si="211"/>
        <v>0</v>
      </c>
      <c r="BG99" s="11" t="b">
        <f t="shared" si="212"/>
        <v>0</v>
      </c>
      <c r="BH99" s="235" t="str">
        <f t="shared" si="213"/>
        <v/>
      </c>
      <c r="BI99" s="74">
        <f t="shared" si="214"/>
        <v>0</v>
      </c>
      <c r="BJ99" s="16">
        <f t="shared" si="215"/>
        <v>0</v>
      </c>
      <c r="BK99" s="16">
        <f t="shared" si="92"/>
        <v>0</v>
      </c>
      <c r="BL99" s="76">
        <f t="shared" si="216"/>
        <v>0</v>
      </c>
      <c r="BM99" s="79">
        <f t="shared" si="217"/>
        <v>0</v>
      </c>
      <c r="BN99" s="14">
        <f t="shared" si="218"/>
        <v>0</v>
      </c>
      <c r="BO99" s="14">
        <f t="shared" si="219"/>
        <v>0</v>
      </c>
      <c r="BP99" s="16">
        <f t="shared" si="93"/>
        <v>0</v>
      </c>
      <c r="BQ99" s="73">
        <f t="shared" si="220"/>
        <v>0</v>
      </c>
      <c r="BR99" s="13"/>
      <c r="BS99" s="75">
        <f t="shared" si="281"/>
        <v>0</v>
      </c>
      <c r="BT99" s="15">
        <f t="shared" si="282"/>
        <v>0</v>
      </c>
      <c r="BU99" s="15">
        <f t="shared" si="283"/>
        <v>0</v>
      </c>
      <c r="BV99" s="17">
        <f t="shared" si="284"/>
        <v>0</v>
      </c>
      <c r="BW99" s="72">
        <f t="shared" si="221"/>
        <v>0</v>
      </c>
      <c r="BX99" s="14">
        <f t="shared" si="222"/>
        <v>0</v>
      </c>
      <c r="BY99" s="16">
        <f t="shared" si="97"/>
        <v>0</v>
      </c>
      <c r="BZ99" s="14">
        <f t="shared" si="274"/>
        <v>0</v>
      </c>
      <c r="CA99" s="73">
        <f t="shared" si="223"/>
        <v>0</v>
      </c>
      <c r="CB99" s="192" t="e">
        <f t="shared" si="224"/>
        <v>#DIV/0!</v>
      </c>
      <c r="CC99" s="72" t="e">
        <f t="shared" si="225"/>
        <v>#DIV/0!</v>
      </c>
      <c r="CD99" s="14">
        <f t="shared" si="226"/>
        <v>0</v>
      </c>
      <c r="CE99" s="85">
        <f t="shared" si="275"/>
        <v>0</v>
      </c>
      <c r="CF99" s="85">
        <f t="shared" si="227"/>
        <v>0</v>
      </c>
      <c r="CG99" s="86" t="e">
        <f t="shared" si="228"/>
        <v>#DIV/0!</v>
      </c>
      <c r="CH99" s="20" t="e">
        <f t="shared" si="229"/>
        <v>#DIV/0!</v>
      </c>
      <c r="CI99" s="87" t="e">
        <f t="shared" si="100"/>
        <v>#DIV/0!</v>
      </c>
      <c r="CJ99" s="77" t="e">
        <f t="shared" si="230"/>
        <v>#DIV/0!</v>
      </c>
      <c r="CK99" s="2" t="e">
        <f t="shared" si="276"/>
        <v>#DIV/0!</v>
      </c>
      <c r="CL99" s="2" t="str">
        <f t="shared" si="231"/>
        <v/>
      </c>
      <c r="CM99" s="231" t="e">
        <f t="shared" si="277"/>
        <v>#DIV/0!</v>
      </c>
      <c r="CN99" s="233" t="e">
        <f t="shared" si="278"/>
        <v>#DIV/0!</v>
      </c>
      <c r="CO99" s="233">
        <f t="shared" si="279"/>
        <v>0</v>
      </c>
      <c r="CP99" s="2">
        <f t="shared" si="232"/>
        <v>1</v>
      </c>
      <c r="CQ99" s="2">
        <f t="shared" si="233"/>
        <v>1</v>
      </c>
      <c r="CR99" s="2" t="str">
        <f t="shared" si="234"/>
        <v/>
      </c>
      <c r="CS99" s="2">
        <f>IF(CR99=0,0,IF(CR99="",N99))</f>
        <v>0</v>
      </c>
      <c r="CT99" s="191">
        <f t="shared" si="236"/>
        <v>0</v>
      </c>
      <c r="CU99" s="2" t="str">
        <f t="shared" si="237"/>
        <v>OK</v>
      </c>
      <c r="CV99" s="232">
        <f t="shared" si="238"/>
        <v>0.05</v>
      </c>
      <c r="CW99" s="191" t="e">
        <f t="shared" si="239"/>
        <v>#DIV/0!</v>
      </c>
      <c r="CX99" s="191" t="e">
        <f t="shared" si="240"/>
        <v>#DIV/0!</v>
      </c>
      <c r="CY99" s="191" t="e">
        <f t="shared" si="241"/>
        <v>#DIV/0!</v>
      </c>
      <c r="CZ99" s="191" t="e">
        <f t="shared" si="242"/>
        <v>#DIV/0!</v>
      </c>
      <c r="DA99" s="191">
        <f t="shared" si="243"/>
        <v>1</v>
      </c>
      <c r="DB99" s="191">
        <f t="shared" si="244"/>
        <v>0</v>
      </c>
      <c r="DC99" s="2" t="str">
        <f t="shared" si="245"/>
        <v>Soft</v>
      </c>
      <c r="DD99" s="2"/>
      <c r="DE99" s="2">
        <f t="shared" si="246"/>
        <v>0</v>
      </c>
      <c r="DF99" s="191" t="e">
        <f t="shared" si="247"/>
        <v>#DIV/0!</v>
      </c>
      <c r="DG99" s="191" t="e">
        <f t="shared" si="248"/>
        <v>#DIV/0!</v>
      </c>
      <c r="DH99" s="191" t="e">
        <f t="shared" si="249"/>
        <v>#DIV/0!</v>
      </c>
      <c r="DI99" s="191" t="e">
        <f t="shared" si="250"/>
        <v>#DIV/0!</v>
      </c>
      <c r="DJ99" s="191" t="e">
        <f t="shared" si="280"/>
        <v>#DIV/0!</v>
      </c>
      <c r="DK99" s="2"/>
      <c r="DL99" s="2"/>
      <c r="DM99" s="2"/>
      <c r="DN99" s="2">
        <f t="shared" si="251"/>
        <v>1</v>
      </c>
      <c r="DO99" s="191" t="e">
        <f t="shared" si="252"/>
        <v>#DIV/0!</v>
      </c>
      <c r="DP99" s="191" t="e">
        <f t="shared" si="253"/>
        <v>#DIV/0!</v>
      </c>
      <c r="DQ99" s="191" t="e">
        <f t="shared" si="254"/>
        <v>#DIV/0!</v>
      </c>
      <c r="DR99" s="191" t="e">
        <f t="shared" si="255"/>
        <v>#DIV/0!</v>
      </c>
      <c r="DS99" s="191" t="e">
        <f t="shared" si="256"/>
        <v>#DIV/0!</v>
      </c>
      <c r="DT99" s="191" t="e">
        <f t="shared" si="257"/>
        <v>#DIV/0!</v>
      </c>
      <c r="DU99" s="191">
        <f t="shared" si="258"/>
        <v>0</v>
      </c>
      <c r="DV99" s="2"/>
      <c r="DW99" s="2" t="b">
        <f t="shared" si="259"/>
        <v>1</v>
      </c>
      <c r="DX99" s="2" t="b">
        <f t="shared" si="260"/>
        <v>1</v>
      </c>
      <c r="DY99" s="2" t="b">
        <f t="shared" si="261"/>
        <v>1</v>
      </c>
      <c r="DZ99" s="2" t="b">
        <f t="shared" si="262"/>
        <v>1</v>
      </c>
      <c r="EA99" s="2" t="b">
        <f t="shared" si="263"/>
        <v>1</v>
      </c>
      <c r="EB99"/>
    </row>
    <row r="100" spans="1:132" ht="17.5" x14ac:dyDescent="0.35">
      <c r="A100" s="109"/>
      <c r="B100" s="736"/>
      <c r="C100" s="736"/>
      <c r="D100" s="736"/>
      <c r="E100" s="736"/>
      <c r="F100" s="736"/>
      <c r="G100" s="736"/>
      <c r="H100" s="736"/>
      <c r="I100" s="736"/>
      <c r="J100" s="736"/>
      <c r="K100" s="736"/>
      <c r="L100" s="736"/>
      <c r="M100" s="736"/>
      <c r="N100" s="736"/>
      <c r="O100" s="736"/>
      <c r="P100" s="736"/>
      <c r="Q100" s="736"/>
      <c r="R100" s="736"/>
      <c r="S100" s="736"/>
      <c r="T100" s="736"/>
      <c r="U100" s="736"/>
      <c r="V100" s="736"/>
      <c r="W100" s="736"/>
      <c r="X100" s="736"/>
      <c r="Y100" s="736"/>
      <c r="Z100" s="111"/>
      <c r="AA100" s="382"/>
      <c r="AB100" s="382"/>
      <c r="AC100" s="382"/>
      <c r="AD100" s="382"/>
      <c r="AE100" s="382"/>
      <c r="AF100" s="382"/>
      <c r="AG100" s="382"/>
      <c r="AH100" s="518"/>
      <c r="AI100" s="518"/>
      <c r="AJ100" s="518"/>
      <c r="AK100" s="519"/>
      <c r="AL100" s="519"/>
      <c r="AM100" s="519"/>
      <c r="AN100" s="519"/>
      <c r="AO100" s="519"/>
      <c r="AP100" s="519"/>
      <c r="AQ100" s="519"/>
      <c r="AR100" s="519"/>
      <c r="AS100" s="519"/>
      <c r="AT100" s="519"/>
      <c r="AU100" s="519"/>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c r="BW100" s="519"/>
      <c r="BX100" s="519"/>
      <c r="BY100" s="519"/>
      <c r="BZ100" s="519"/>
      <c r="CA100" s="519"/>
      <c r="CB100" s="519" t="e">
        <f>SUBTOTAL(9,CB20:CB99)</f>
        <v>#DIV/0!</v>
      </c>
      <c r="CC100" s="519"/>
      <c r="CD100" s="519"/>
      <c r="CE100" s="519"/>
      <c r="CF100" s="519"/>
      <c r="CG100" s="519"/>
      <c r="CH100" s="519"/>
      <c r="CI100" s="519"/>
      <c r="CJ100" s="519"/>
      <c r="CK100" s="519"/>
      <c r="CL100" s="382"/>
      <c r="CM100" s="382"/>
      <c r="CN100" s="520" t="e">
        <f>SUBTOTAL(9,CN20:CN99)</f>
        <v>#DIV/0!</v>
      </c>
      <c r="CO100" s="520"/>
      <c r="CP100" s="382"/>
      <c r="CQ100" s="382"/>
      <c r="CR100" s="382"/>
      <c r="CS100" s="382"/>
      <c r="CT100" s="501">
        <f>SUBTOTAL(9,CT20:CT99)</f>
        <v>0</v>
      </c>
      <c r="CU100" s="382" t="s">
        <v>443</v>
      </c>
      <c r="CV100" s="382"/>
      <c r="CW100" s="382"/>
      <c r="CX100" s="382"/>
      <c r="CY100" s="382"/>
      <c r="CZ100" s="382"/>
      <c r="DA100" s="382"/>
      <c r="DB100" s="382"/>
      <c r="DC100" s="382"/>
      <c r="DD100" s="382"/>
      <c r="DE100" s="382"/>
      <c r="DF100" s="382"/>
      <c r="DG100" s="382"/>
      <c r="DH100" s="382"/>
      <c r="DI100" s="382"/>
      <c r="DJ100" s="382"/>
      <c r="DK100" s="382"/>
      <c r="DL100" s="382"/>
      <c r="DM100" s="382"/>
      <c r="DN100" s="382"/>
      <c r="DO100" s="382"/>
      <c r="DP100" s="382"/>
      <c r="DQ100" s="382"/>
      <c r="DR100" s="382"/>
      <c r="DS100" s="382"/>
      <c r="DT100" s="382"/>
      <c r="DU100" s="382"/>
      <c r="DV100" s="382"/>
      <c r="DW100" s="382"/>
      <c r="DX100" s="382"/>
      <c r="DY100" s="382"/>
      <c r="DZ100" s="382"/>
      <c r="EA100" s="382"/>
    </row>
    <row r="101" spans="1:132" ht="87.5" x14ac:dyDescent="0.35">
      <c r="A101" s="109"/>
      <c r="B101" s="737" t="s">
        <v>168</v>
      </c>
      <c r="C101" s="738"/>
      <c r="D101" s="738"/>
      <c r="E101" s="738"/>
      <c r="F101" s="738"/>
      <c r="G101" s="738"/>
      <c r="H101" s="738"/>
      <c r="I101" s="738"/>
      <c r="J101" s="738"/>
      <c r="K101" s="738"/>
      <c r="L101" s="738"/>
      <c r="M101" s="738"/>
      <c r="N101" s="738"/>
      <c r="O101" s="738"/>
      <c r="P101" s="738"/>
      <c r="Q101" s="738"/>
      <c r="R101" s="738"/>
      <c r="S101" s="739"/>
      <c r="T101" s="739"/>
      <c r="U101" s="739"/>
      <c r="V101" s="739"/>
      <c r="W101" s="739"/>
      <c r="X101" s="740" t="str">
        <f>IF(AND(AllInputsOK=TRUE,ShowPassCond=TRUE,ShowPassSHG=TRUE),"If inputs are valid","")</f>
        <v/>
      </c>
      <c r="Y101" s="779" t="str">
        <f>IF(AND(AllInputsOK=TRUE,ShowPassCond=TRUE,ShowPassSHG=TRUE),"ü",IF(VisibleFailures&gt;0,"û",""))</f>
        <v/>
      </c>
      <c r="Z101" s="111"/>
      <c r="AA101" s="382"/>
      <c r="AB101" s="428"/>
      <c r="AC101" s="382"/>
      <c r="AD101" s="382"/>
      <c r="AE101" s="382"/>
      <c r="AF101" s="382"/>
      <c r="AG101" s="382"/>
      <c r="AH101" s="521" t="s">
        <v>169</v>
      </c>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494" t="e">
        <f>IF(CT100/(AreaA+AreaB+F12)&lt;0.05,0.05,CT100/(AreaA+AreaB+F12))</f>
        <v>#DIV/0!</v>
      </c>
      <c r="CU101" s="382" t="s">
        <v>442</v>
      </c>
      <c r="CV101" s="382"/>
      <c r="CW101" s="382"/>
      <c r="CX101" s="382"/>
      <c r="CY101" s="382"/>
      <c r="CZ101" s="382"/>
      <c r="DA101" s="382"/>
      <c r="DB101" s="382"/>
      <c r="DC101" s="382"/>
      <c r="DD101" s="382"/>
      <c r="DE101" s="382"/>
      <c r="DF101" s="382"/>
      <c r="DG101" s="382"/>
      <c r="DH101" s="382"/>
      <c r="DI101" s="382"/>
      <c r="DJ101" s="382"/>
      <c r="DK101" s="382"/>
      <c r="DL101" s="382"/>
      <c r="DM101" s="382"/>
      <c r="DN101" s="382"/>
      <c r="DO101" s="382"/>
      <c r="DP101" s="382"/>
      <c r="DQ101" s="382"/>
      <c r="DR101" s="382"/>
      <c r="DS101" s="382"/>
      <c r="DT101" s="382"/>
      <c r="DU101" s="382"/>
      <c r="DV101" s="382"/>
      <c r="DW101" s="382"/>
      <c r="DX101" s="382"/>
      <c r="DY101" s="382"/>
      <c r="DZ101" s="382"/>
      <c r="EA101" s="382"/>
    </row>
    <row r="102" spans="1:132" ht="51.65" customHeight="1" x14ac:dyDescent="0.35">
      <c r="A102" s="109"/>
      <c r="B102" s="799"/>
      <c r="C102" s="800"/>
      <c r="D102" s="800"/>
      <c r="E102" s="800"/>
      <c r="F102" s="800"/>
      <c r="G102" s="800"/>
      <c r="H102" s="800"/>
      <c r="I102" s="800"/>
      <c r="J102" s="800"/>
      <c r="K102" s="800"/>
      <c r="L102" s="800"/>
      <c r="M102" s="800"/>
      <c r="N102" s="800"/>
      <c r="O102" s="800"/>
      <c r="P102" s="800"/>
      <c r="Q102" s="800"/>
      <c r="R102" s="800"/>
      <c r="S102" s="800"/>
      <c r="T102" s="800"/>
      <c r="U102" s="800"/>
      <c r="V102" s="801"/>
      <c r="W102" s="801"/>
      <c r="X102" s="801"/>
      <c r="Y102" s="801"/>
      <c r="Z102" s="111"/>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82"/>
      <c r="BX102" s="382"/>
      <c r="BY102" s="382"/>
      <c r="BZ102" s="382"/>
      <c r="CA102" s="382"/>
      <c r="CB102" s="382"/>
      <c r="CC102" s="382"/>
      <c r="CD102" s="382"/>
      <c r="CE102" s="382"/>
      <c r="CF102" s="382"/>
      <c r="CG102" s="382"/>
      <c r="CH102" s="382"/>
      <c r="CI102" s="382"/>
      <c r="CJ102" s="382"/>
      <c r="CK102" s="382"/>
      <c r="CL102" s="382"/>
      <c r="CM102" s="382"/>
      <c r="CN102" s="382"/>
      <c r="CO102" s="382"/>
      <c r="CP102" s="382"/>
      <c r="CQ102" s="382"/>
      <c r="CR102" s="382"/>
      <c r="CS102" s="382"/>
      <c r="CT102" s="382"/>
      <c r="CU102" s="382"/>
      <c r="CV102" s="382"/>
      <c r="CW102" s="382"/>
      <c r="CX102" s="382"/>
      <c r="CY102" s="382"/>
      <c r="CZ102" s="382"/>
      <c r="DA102" s="382"/>
      <c r="DB102" s="382"/>
      <c r="DC102" s="382"/>
      <c r="DD102" s="382"/>
      <c r="DE102" s="382"/>
      <c r="DF102" s="382"/>
      <c r="DG102" s="382"/>
      <c r="DH102" s="382"/>
      <c r="DI102" s="382"/>
      <c r="DJ102" s="382"/>
      <c r="DK102" s="382"/>
      <c r="DL102" s="382"/>
      <c r="DM102" s="382"/>
      <c r="DN102" s="382"/>
      <c r="DO102" s="382"/>
      <c r="DP102" s="382"/>
      <c r="DQ102" s="382"/>
      <c r="DR102" s="382"/>
      <c r="DS102" s="382"/>
      <c r="DT102" s="382"/>
      <c r="DU102" s="382"/>
      <c r="DV102" s="382"/>
      <c r="DW102" s="382"/>
      <c r="DX102" s="382"/>
      <c r="DY102" s="382"/>
      <c r="DZ102" s="382"/>
      <c r="EA102" s="382"/>
    </row>
    <row r="103" spans="1:132" ht="17.5" x14ac:dyDescent="0.35">
      <c r="A103" s="109"/>
      <c r="B103" s="741"/>
      <c r="C103" s="742"/>
      <c r="D103" s="742"/>
      <c r="E103" s="742"/>
      <c r="F103" s="742"/>
      <c r="G103" s="742"/>
      <c r="H103" s="742"/>
      <c r="I103" s="742"/>
      <c r="J103" s="742"/>
      <c r="K103" s="742"/>
      <c r="L103" s="742"/>
      <c r="M103" s="742"/>
      <c r="N103" s="742"/>
      <c r="O103" s="742"/>
      <c r="P103" s="743"/>
      <c r="Q103" s="743"/>
      <c r="R103" s="743"/>
      <c r="S103" s="743"/>
      <c r="T103" s="743"/>
      <c r="U103" s="743"/>
      <c r="V103" s="743"/>
      <c r="W103" s="743"/>
      <c r="X103" s="743"/>
      <c r="Y103" s="743"/>
      <c r="Z103" s="111"/>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382"/>
      <c r="DY103" s="382"/>
      <c r="DZ103" s="382"/>
      <c r="EA103" s="382"/>
    </row>
    <row r="104" spans="1:132" ht="9.75" customHeight="1" x14ac:dyDescent="0.35">
      <c r="B104" s="791"/>
      <c r="C104" s="791"/>
      <c r="D104" s="791"/>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111"/>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382"/>
      <c r="CE104" s="382"/>
      <c r="CF104" s="382"/>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382"/>
      <c r="EA104" s="382"/>
    </row>
    <row r="105" spans="1:132" x14ac:dyDescent="0.3">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82"/>
      <c r="BX105" s="382"/>
      <c r="BY105" s="382"/>
      <c r="BZ105" s="382"/>
      <c r="CA105" s="382"/>
      <c r="CB105" s="382"/>
      <c r="CC105" s="382"/>
      <c r="CD105" s="382"/>
      <c r="CE105" s="382"/>
      <c r="CF105" s="382"/>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382"/>
      <c r="EA105" s="382"/>
    </row>
    <row r="106" spans="1:132" x14ac:dyDescent="0.3">
      <c r="AA106" s="382"/>
      <c r="AB106" s="382"/>
      <c r="AC106" s="382"/>
      <c r="AD106" s="382"/>
      <c r="AE106" s="382"/>
      <c r="AF106" s="382"/>
      <c r="AG106" s="382"/>
      <c r="AH106" s="382"/>
      <c r="AI106" s="382"/>
      <c r="AJ106" s="382"/>
      <c r="AK106" s="382"/>
      <c r="AL106" s="522"/>
      <c r="AM106" s="441"/>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c r="CZ106" s="382"/>
      <c r="DA106" s="382"/>
      <c r="DB106" s="382"/>
      <c r="DC106" s="382"/>
      <c r="DD106" s="382"/>
      <c r="DE106" s="382"/>
      <c r="DF106" s="382"/>
      <c r="DG106" s="382"/>
      <c r="DH106" s="382"/>
      <c r="DI106" s="382"/>
      <c r="DJ106" s="382"/>
      <c r="DK106" s="382"/>
      <c r="DL106" s="382"/>
      <c r="DM106" s="382"/>
      <c r="DN106" s="382"/>
      <c r="DO106" s="382"/>
      <c r="DP106" s="382"/>
      <c r="DQ106" s="382"/>
      <c r="DR106" s="382"/>
      <c r="DS106" s="382"/>
      <c r="DT106" s="382"/>
      <c r="DU106" s="382"/>
      <c r="DV106" s="382"/>
      <c r="DW106" s="382"/>
      <c r="DX106" s="382"/>
      <c r="DY106" s="382"/>
      <c r="DZ106" s="382"/>
      <c r="EA106" s="382"/>
    </row>
    <row r="107" spans="1:132" x14ac:dyDescent="0.3">
      <c r="AA107" s="382"/>
      <c r="AB107" s="382"/>
      <c r="AC107" s="382"/>
      <c r="AD107" s="382"/>
      <c r="AE107" s="382"/>
      <c r="AF107" s="382"/>
      <c r="AG107" s="382"/>
      <c r="AH107" s="382"/>
      <c r="AI107" s="382"/>
      <c r="AJ107" s="382"/>
      <c r="AK107" s="382"/>
      <c r="AL107" s="522"/>
      <c r="AM107" s="441"/>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2"/>
      <c r="BZ107" s="382"/>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2"/>
      <c r="DJ107" s="382"/>
      <c r="DK107" s="382"/>
      <c r="DL107" s="382"/>
      <c r="DM107" s="382"/>
      <c r="DN107" s="382"/>
      <c r="DO107" s="382"/>
      <c r="DP107" s="382"/>
      <c r="DQ107" s="382"/>
      <c r="DR107" s="382"/>
      <c r="DS107" s="382"/>
      <c r="DT107" s="382"/>
      <c r="DU107" s="382"/>
      <c r="DV107" s="382"/>
      <c r="DW107" s="382"/>
      <c r="DX107" s="382"/>
      <c r="DY107" s="382"/>
      <c r="DZ107" s="382"/>
      <c r="EA107" s="382"/>
    </row>
    <row r="108" spans="1:132" ht="26" x14ac:dyDescent="0.3">
      <c r="AA108" s="382"/>
      <c r="AB108" s="382"/>
      <c r="AC108" s="382"/>
      <c r="AD108" s="382"/>
      <c r="AE108" s="382"/>
      <c r="AF108" s="382"/>
      <c r="AG108" s="382"/>
      <c r="AH108" s="382"/>
      <c r="AI108" s="382"/>
      <c r="AJ108" s="382"/>
      <c r="AK108" s="382"/>
      <c r="AL108" s="522"/>
      <c r="AM108" s="441"/>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c r="BQ108" s="382"/>
      <c r="BR108" s="382"/>
      <c r="BS108" s="382"/>
      <c r="BT108" s="382"/>
      <c r="BU108" s="382"/>
      <c r="BV108" s="382"/>
      <c r="BW108" s="382"/>
      <c r="BX108" s="382"/>
      <c r="BY108" s="382"/>
      <c r="BZ108" s="382"/>
      <c r="CA108" s="382"/>
      <c r="CB108" s="382"/>
      <c r="CC108" s="382"/>
      <c r="CD108" s="382"/>
      <c r="CE108" s="382"/>
      <c r="CF108" s="382"/>
      <c r="CG108" s="382"/>
      <c r="CH108" s="382"/>
      <c r="CI108" s="382"/>
      <c r="CJ108" s="382"/>
      <c r="CK108" s="382"/>
      <c r="CL108" s="382"/>
      <c r="CM108" s="382"/>
      <c r="CN108" s="382"/>
      <c r="CO108" s="382"/>
      <c r="CP108" s="478" t="s">
        <v>401</v>
      </c>
      <c r="CQ108" s="478" t="s">
        <v>400</v>
      </c>
      <c r="CR108" s="478" t="s">
        <v>323</v>
      </c>
      <c r="CS108" s="478" t="s">
        <v>397</v>
      </c>
      <c r="CT108" s="478" t="s">
        <v>398</v>
      </c>
      <c r="CU108" s="478" t="s">
        <v>399</v>
      </c>
      <c r="CV108" s="382"/>
      <c r="CW108" s="382"/>
      <c r="CX108" s="382"/>
      <c r="CY108" s="382"/>
      <c r="CZ108" s="382"/>
      <c r="DA108" s="382"/>
      <c r="DB108" s="382"/>
      <c r="DC108" s="382"/>
      <c r="DD108" s="478" t="s">
        <v>397</v>
      </c>
      <c r="DE108" s="382" t="s">
        <v>434</v>
      </c>
      <c r="DF108" s="382"/>
      <c r="DG108" s="382"/>
      <c r="DH108" s="382"/>
      <c r="DI108" s="382"/>
      <c r="DJ108" s="382" t="s">
        <v>446</v>
      </c>
      <c r="DK108" s="382"/>
      <c r="DL108" s="382" t="s">
        <v>448</v>
      </c>
      <c r="DM108" s="382"/>
      <c r="DN108" s="382"/>
      <c r="DO108" s="382"/>
      <c r="DP108" s="382"/>
      <c r="DQ108" s="382"/>
      <c r="DR108" s="382"/>
      <c r="DS108" s="382"/>
      <c r="DT108" s="382"/>
      <c r="DU108" s="382"/>
      <c r="DV108" s="382"/>
      <c r="DW108" s="382"/>
      <c r="DX108" s="382"/>
      <c r="DY108" s="382"/>
      <c r="DZ108" s="382"/>
      <c r="EA108" s="382"/>
    </row>
    <row r="109" spans="1:132" x14ac:dyDescent="0.3">
      <c r="AA109" s="382"/>
      <c r="AB109" s="382"/>
      <c r="AC109" s="382"/>
      <c r="AD109" s="382"/>
      <c r="AE109" s="382"/>
      <c r="AF109" s="382"/>
      <c r="AG109" s="382"/>
      <c r="AH109" s="382"/>
      <c r="AI109" s="382"/>
      <c r="AJ109" s="382"/>
      <c r="AK109" s="382"/>
      <c r="AL109" s="522"/>
      <c r="AM109" s="441"/>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c r="BQ109" s="382"/>
      <c r="BR109" s="382"/>
      <c r="BS109" s="382"/>
      <c r="BT109" s="382"/>
      <c r="BU109" s="382"/>
      <c r="BV109" s="382"/>
      <c r="BW109" s="382"/>
      <c r="BX109" s="382"/>
      <c r="BY109" s="382"/>
      <c r="BZ109" s="382"/>
      <c r="CA109" s="382"/>
      <c r="CB109" s="382"/>
      <c r="CC109" s="382"/>
      <c r="CD109" s="382"/>
      <c r="CE109" s="382"/>
      <c r="CF109" s="382"/>
      <c r="CG109" s="382"/>
      <c r="CH109" s="382"/>
      <c r="CI109" s="382"/>
      <c r="CJ109" s="382"/>
      <c r="CK109" s="382"/>
      <c r="CL109" s="382"/>
      <c r="CM109" s="382"/>
      <c r="CN109" s="382"/>
      <c r="CO109" s="382"/>
      <c r="CP109" s="382"/>
      <c r="CQ109" s="382"/>
      <c r="CR109" s="382"/>
      <c r="CS109" s="382"/>
      <c r="CT109" s="382"/>
      <c r="CU109" s="382"/>
      <c r="CV109" s="382"/>
      <c r="CW109" s="382"/>
      <c r="CX109" s="382"/>
      <c r="CY109" s="382"/>
      <c r="CZ109" s="382"/>
      <c r="DA109" s="382"/>
      <c r="DB109" s="382"/>
      <c r="DC109" s="382"/>
      <c r="DD109" s="382"/>
      <c r="DE109" s="382"/>
      <c r="DF109" s="382"/>
      <c r="DG109" s="382"/>
      <c r="DH109" s="382"/>
      <c r="DI109" s="382"/>
      <c r="DJ109" s="382" t="s">
        <v>512</v>
      </c>
      <c r="DK109" s="382"/>
      <c r="DL109" s="382"/>
      <c r="DM109" s="382"/>
      <c r="DN109" s="382"/>
      <c r="DO109" s="382"/>
      <c r="DP109" s="382"/>
      <c r="DQ109" s="382"/>
      <c r="DR109" s="382"/>
      <c r="DS109" s="382"/>
      <c r="DT109" s="382"/>
      <c r="DU109" s="382"/>
      <c r="DV109" s="382"/>
      <c r="DW109" s="382"/>
      <c r="DX109" s="382"/>
      <c r="DY109" s="382"/>
      <c r="DZ109" s="382"/>
      <c r="EA109" s="382"/>
    </row>
    <row r="110" spans="1:132" x14ac:dyDescent="0.3">
      <c r="AA110" s="382"/>
      <c r="AB110" s="382"/>
      <c r="AC110" s="382"/>
      <c r="AD110" s="382"/>
      <c r="AE110" s="382"/>
      <c r="AF110" s="382"/>
      <c r="AG110" s="382"/>
      <c r="AH110" s="382"/>
      <c r="AI110" s="382"/>
      <c r="AJ110" s="382"/>
      <c r="AK110" s="382"/>
      <c r="AL110" s="522"/>
      <c r="AM110" s="441"/>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Q110" s="382"/>
      <c r="BR110" s="382"/>
      <c r="BS110" s="382"/>
      <c r="BT110" s="382"/>
      <c r="BU110" s="382"/>
      <c r="BV110" s="382"/>
      <c r="BW110" s="382"/>
      <c r="BX110" s="382"/>
      <c r="BY110" s="382"/>
      <c r="BZ110" s="382"/>
      <c r="CA110" s="382"/>
      <c r="CB110" s="382"/>
      <c r="CC110" s="382"/>
      <c r="CD110" s="382"/>
      <c r="CE110" s="382"/>
      <c r="CF110" s="382"/>
      <c r="CG110" s="382"/>
      <c r="CH110" s="382"/>
      <c r="CI110" s="382"/>
      <c r="CJ110" s="382"/>
      <c r="CK110" s="382"/>
      <c r="CL110" s="382"/>
      <c r="CM110" s="382"/>
      <c r="CN110" s="382"/>
      <c r="CO110" s="382"/>
      <c r="CP110" s="382"/>
      <c r="CQ110" s="382" t="s">
        <v>430</v>
      </c>
      <c r="CR110" s="382" t="s">
        <v>477</v>
      </c>
      <c r="CS110" s="382" t="s">
        <v>409</v>
      </c>
      <c r="CT110" s="382" t="s">
        <v>348</v>
      </c>
      <c r="CU110" s="382" t="s">
        <v>410</v>
      </c>
      <c r="CV110" s="382"/>
      <c r="CW110" s="382"/>
      <c r="CX110" s="382" t="s">
        <v>420</v>
      </c>
      <c r="CY110" s="382" t="s">
        <v>421</v>
      </c>
      <c r="CZ110" s="382" t="s">
        <v>422</v>
      </c>
      <c r="DA110" s="382"/>
      <c r="DB110" s="382"/>
      <c r="DC110" s="382"/>
      <c r="DD110" s="382" t="s">
        <v>409</v>
      </c>
      <c r="DE110" s="382" t="s">
        <v>433</v>
      </c>
      <c r="DF110" s="382" t="s">
        <v>523</v>
      </c>
      <c r="DG110" s="382"/>
      <c r="DH110" s="382"/>
      <c r="DI110" s="382"/>
      <c r="DJ110" s="382" t="s">
        <v>447</v>
      </c>
      <c r="DK110" s="382"/>
      <c r="DL110" s="382" t="s">
        <v>402</v>
      </c>
      <c r="DM110" s="382"/>
      <c r="DN110" s="382"/>
      <c r="DO110" s="382"/>
      <c r="DP110" s="382"/>
      <c r="DQ110" s="382"/>
      <c r="DR110" s="382"/>
      <c r="DS110" s="382"/>
      <c r="DT110" s="382"/>
      <c r="DU110" s="382"/>
      <c r="DV110" s="382"/>
      <c r="DW110" s="382"/>
      <c r="DX110" s="382"/>
      <c r="DY110" s="382"/>
      <c r="DZ110" s="382"/>
      <c r="EA110" s="382"/>
    </row>
    <row r="111" spans="1:132" x14ac:dyDescent="0.3">
      <c r="AA111" s="382"/>
      <c r="AB111" s="382"/>
      <c r="AC111" s="382"/>
      <c r="AD111" s="382"/>
      <c r="AE111" s="382"/>
      <c r="AF111" s="382"/>
      <c r="AG111" s="382"/>
      <c r="AH111" s="382"/>
      <c r="AI111" s="382"/>
      <c r="AJ111" s="382"/>
      <c r="AK111" s="382"/>
      <c r="AL111" s="522"/>
      <c r="AM111" s="441"/>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c r="BP111" s="382"/>
      <c r="BQ111" s="382"/>
      <c r="BR111" s="382"/>
      <c r="BS111" s="382"/>
      <c r="BT111" s="382"/>
      <c r="BU111" s="382"/>
      <c r="BV111" s="382"/>
      <c r="BW111" s="382"/>
      <c r="BX111" s="382"/>
      <c r="BY111" s="382"/>
      <c r="BZ111" s="382"/>
      <c r="CA111" s="382"/>
      <c r="CB111" s="382"/>
      <c r="CC111" s="382"/>
      <c r="CD111" s="382"/>
      <c r="CE111" s="382"/>
      <c r="CF111" s="382"/>
      <c r="CG111" s="382"/>
      <c r="CH111" s="382"/>
      <c r="CI111" s="382"/>
      <c r="CJ111" s="382"/>
      <c r="CK111" s="382"/>
      <c r="CL111" s="382"/>
      <c r="CM111" s="382"/>
      <c r="CN111" s="382"/>
      <c r="CO111" s="382"/>
      <c r="CP111" s="382"/>
      <c r="CQ111" s="382" t="s">
        <v>419</v>
      </c>
      <c r="CR111" s="382" t="s">
        <v>478</v>
      </c>
      <c r="CS111" s="382" t="s">
        <v>405</v>
      </c>
      <c r="CT111" s="382" t="s">
        <v>345</v>
      </c>
      <c r="CU111" s="382" t="s">
        <v>413</v>
      </c>
      <c r="CV111" s="382"/>
      <c r="CW111" s="382"/>
      <c r="CX111" s="382"/>
      <c r="CY111" s="382"/>
      <c r="CZ111" s="382" t="s">
        <v>423</v>
      </c>
      <c r="DA111" s="382"/>
      <c r="DB111" s="382"/>
      <c r="DC111" s="382"/>
      <c r="DD111" s="382" t="s">
        <v>405</v>
      </c>
      <c r="DE111" s="382" t="s">
        <v>432</v>
      </c>
      <c r="DF111" s="382" t="s">
        <v>524</v>
      </c>
      <c r="DG111" s="382"/>
      <c r="DH111" s="382"/>
      <c r="DI111" s="382"/>
      <c r="DJ111" s="382"/>
      <c r="DK111" s="382"/>
      <c r="DL111" s="382" t="s">
        <v>449</v>
      </c>
      <c r="DM111" s="382"/>
      <c r="DN111" s="382"/>
      <c r="DO111" s="382"/>
      <c r="DP111" s="382"/>
      <c r="DQ111" s="382"/>
      <c r="DR111" s="382"/>
      <c r="DS111" s="382"/>
      <c r="DT111" s="382"/>
      <c r="DU111" s="382"/>
      <c r="DV111" s="382"/>
      <c r="DW111" s="382"/>
      <c r="DX111" s="382"/>
      <c r="DY111" s="382"/>
      <c r="DZ111" s="382"/>
      <c r="EA111" s="382"/>
    </row>
    <row r="112" spans="1:132" x14ac:dyDescent="0.3">
      <c r="AA112" s="382"/>
      <c r="AB112" s="382"/>
      <c r="AC112" s="382"/>
      <c r="AD112" s="382"/>
      <c r="AE112" s="382"/>
      <c r="AF112" s="382"/>
      <c r="AG112" s="382"/>
      <c r="AH112" s="382"/>
      <c r="AI112" s="382"/>
      <c r="AJ112" s="382"/>
      <c r="AK112" s="382"/>
      <c r="AL112" s="522"/>
      <c r="AM112" s="441"/>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c r="BP112" s="382"/>
      <c r="BQ112" s="382"/>
      <c r="BR112" s="382"/>
      <c r="BS112" s="382"/>
      <c r="BT112" s="382"/>
      <c r="BU112" s="382"/>
      <c r="BV112" s="382"/>
      <c r="BW112" s="382"/>
      <c r="BX112" s="382"/>
      <c r="BY112" s="382"/>
      <c r="BZ112" s="382"/>
      <c r="CA112" s="382"/>
      <c r="CB112" s="382"/>
      <c r="CC112" s="382"/>
      <c r="CD112" s="382"/>
      <c r="CE112" s="382"/>
      <c r="CF112" s="382"/>
      <c r="CG112" s="382"/>
      <c r="CH112" s="382"/>
      <c r="CI112" s="382"/>
      <c r="CJ112" s="382"/>
      <c r="CK112" s="382"/>
      <c r="CL112" s="382"/>
      <c r="CM112" s="382"/>
      <c r="CN112" s="382"/>
      <c r="CO112" s="382"/>
      <c r="CP112" s="382"/>
      <c r="CQ112" s="382" t="s">
        <v>431</v>
      </c>
      <c r="CR112" s="382" t="s">
        <v>403</v>
      </c>
      <c r="CS112" s="382" t="s">
        <v>407</v>
      </c>
      <c r="CT112" s="382" t="s">
        <v>342</v>
      </c>
      <c r="CU112" s="382" t="s">
        <v>417</v>
      </c>
      <c r="CV112" s="382"/>
      <c r="CW112" s="382"/>
      <c r="CX112" s="382"/>
      <c r="CY112" s="382"/>
      <c r="CZ112" s="382" t="s">
        <v>424</v>
      </c>
      <c r="DA112" s="382" t="s">
        <v>425</v>
      </c>
      <c r="DB112" s="382" t="s">
        <v>426</v>
      </c>
      <c r="DC112" s="382"/>
      <c r="DD112" s="382" t="s">
        <v>407</v>
      </c>
      <c r="DE112" s="382" t="s">
        <v>433</v>
      </c>
      <c r="DF112" s="382" t="s">
        <v>407</v>
      </c>
      <c r="DG112" s="382"/>
      <c r="DH112" s="382"/>
      <c r="DI112" s="382"/>
      <c r="DJ112" s="382"/>
      <c r="DK112" s="382"/>
      <c r="DL112" s="382"/>
      <c r="DM112" s="382"/>
      <c r="DN112" s="382"/>
      <c r="DO112" s="382"/>
      <c r="DP112" s="382"/>
      <c r="DQ112" s="382"/>
      <c r="DR112" s="382"/>
      <c r="DS112" s="382"/>
      <c r="DT112" s="382"/>
      <c r="DU112" s="382"/>
      <c r="DV112" s="382"/>
      <c r="DW112" s="382"/>
      <c r="DX112" s="382"/>
      <c r="DY112" s="382"/>
      <c r="DZ112" s="382"/>
      <c r="EA112" s="382"/>
    </row>
    <row r="113" spans="1:132" s="517" customFormat="1" hidden="1" x14ac:dyDescent="0.3">
      <c r="AA113" s="382"/>
      <c r="AB113" s="382"/>
      <c r="AC113" s="382"/>
      <c r="AD113" s="382"/>
      <c r="AE113" s="382"/>
      <c r="AF113" s="382"/>
      <c r="AG113" s="382"/>
      <c r="AH113" s="382"/>
      <c r="AI113" s="382"/>
      <c r="AJ113" s="382"/>
      <c r="AK113" s="382"/>
      <c r="AL113" s="522"/>
      <c r="AM113" s="441"/>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c r="BP113" s="382"/>
      <c r="BQ113" s="382"/>
      <c r="BR113" s="382"/>
      <c r="BS113" s="382"/>
      <c r="BT113" s="382"/>
      <c r="BU113" s="382"/>
      <c r="BV113" s="382"/>
      <c r="BW113" s="382"/>
      <c r="BX113" s="382"/>
      <c r="BY113" s="382"/>
      <c r="BZ113" s="382"/>
      <c r="CA113" s="382"/>
      <c r="CB113" s="382"/>
      <c r="CC113" s="382"/>
      <c r="CD113" s="382"/>
      <c r="CE113" s="382"/>
      <c r="CF113" s="382"/>
      <c r="CG113" s="382"/>
      <c r="CH113" s="382"/>
      <c r="CI113" s="382"/>
      <c r="CJ113" s="382"/>
      <c r="CK113" s="382"/>
      <c r="CL113" s="382"/>
      <c r="CM113" s="382"/>
      <c r="CN113" s="382"/>
      <c r="CO113" s="382"/>
      <c r="CP113" s="382"/>
      <c r="CQ113" s="382"/>
      <c r="CR113" s="382"/>
      <c r="CS113" s="382" t="s">
        <v>408</v>
      </c>
      <c r="CT113" s="382"/>
      <c r="CU113" s="382" t="s">
        <v>416</v>
      </c>
      <c r="CV113" s="382"/>
      <c r="CW113" s="382"/>
      <c r="CX113" s="382" t="s">
        <v>413</v>
      </c>
      <c r="CY113" s="382" t="s">
        <v>427</v>
      </c>
      <c r="CZ113" s="382">
        <v>0.9</v>
      </c>
      <c r="DA113" s="382">
        <v>0.45</v>
      </c>
      <c r="DB113" s="382">
        <v>0.3</v>
      </c>
      <c r="DC113" s="382"/>
      <c r="DD113" s="382" t="s">
        <v>408</v>
      </c>
      <c r="DE113" s="382" t="s">
        <v>433</v>
      </c>
      <c r="DF113" s="382" t="s">
        <v>525</v>
      </c>
      <c r="DG113" s="382"/>
      <c r="DH113" s="382"/>
      <c r="DI113" s="382"/>
      <c r="DJ113" s="382"/>
      <c r="DK113" s="382"/>
      <c r="DL113" s="382"/>
      <c r="DM113" s="382"/>
      <c r="DN113" s="382"/>
      <c r="DO113" s="382"/>
      <c r="DP113" s="382"/>
      <c r="DQ113" s="382"/>
      <c r="DR113" s="382"/>
      <c r="DS113" s="382"/>
      <c r="DT113" s="382"/>
      <c r="DU113" s="382"/>
      <c r="DV113" s="382"/>
      <c r="DW113" s="382"/>
      <c r="DX113" s="382"/>
      <c r="DY113" s="382"/>
      <c r="DZ113" s="382"/>
      <c r="EA113" s="382"/>
    </row>
    <row r="114" spans="1:132" s="517" customFormat="1" hidden="1" x14ac:dyDescent="0.3">
      <c r="A114" s="580"/>
      <c r="B114" s="580"/>
      <c r="C114" s="580"/>
      <c r="D114" s="580"/>
      <c r="E114" s="580"/>
      <c r="F114" s="580"/>
      <c r="G114" s="580"/>
      <c r="H114" s="580"/>
      <c r="I114" s="580"/>
      <c r="J114" s="580"/>
      <c r="K114" s="580"/>
      <c r="L114" s="580"/>
      <c r="M114" s="580"/>
      <c r="N114" s="580"/>
      <c r="O114" s="580"/>
      <c r="P114" s="580"/>
      <c r="Q114" s="580"/>
      <c r="R114" s="580"/>
      <c r="S114" s="580"/>
      <c r="T114" s="580"/>
      <c r="U114" s="580"/>
      <c r="V114" s="580"/>
      <c r="W114" s="580"/>
      <c r="X114" s="580"/>
      <c r="Y114" s="580"/>
      <c r="Z114" s="580"/>
      <c r="AA114" s="382"/>
      <c r="AB114" s="382"/>
      <c r="AC114" s="382"/>
      <c r="AD114" s="382"/>
      <c r="AE114" s="382"/>
      <c r="AF114" s="382"/>
      <c r="AG114" s="382"/>
      <c r="AH114" s="382"/>
      <c r="AI114" s="382"/>
      <c r="AJ114" s="382"/>
      <c r="AK114" s="382"/>
      <c r="AL114" s="522"/>
      <c r="AM114" s="441"/>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c r="BP114" s="382"/>
      <c r="BQ114" s="382"/>
      <c r="BR114" s="382"/>
      <c r="BS114" s="382"/>
      <c r="BT114" s="382"/>
      <c r="BU114" s="382"/>
      <c r="BV114" s="382"/>
      <c r="BW114" s="382"/>
      <c r="BX114" s="382"/>
      <c r="BY114" s="382"/>
      <c r="BZ114" s="382"/>
      <c r="CA114" s="382"/>
      <c r="CB114" s="382"/>
      <c r="CC114" s="382"/>
      <c r="CD114" s="382"/>
      <c r="CE114" s="382"/>
      <c r="CF114" s="382"/>
      <c r="CG114" s="382"/>
      <c r="CH114" s="382"/>
      <c r="CI114" s="382"/>
      <c r="CJ114" s="382"/>
      <c r="CK114" s="382"/>
      <c r="CL114" s="382"/>
      <c r="CM114" s="382"/>
      <c r="CN114" s="382"/>
      <c r="CO114" s="382"/>
      <c r="CP114" s="382"/>
      <c r="CQ114" s="382"/>
      <c r="CR114" s="382"/>
      <c r="CS114" s="382" t="s">
        <v>445</v>
      </c>
      <c r="CT114" s="382"/>
      <c r="CU114" s="382" t="s">
        <v>411</v>
      </c>
      <c r="CV114" s="382"/>
      <c r="CW114" s="382"/>
      <c r="CX114" s="382" t="s">
        <v>417</v>
      </c>
      <c r="CY114" s="382" t="s">
        <v>427</v>
      </c>
      <c r="CZ114" s="382">
        <v>0.9</v>
      </c>
      <c r="DA114" s="382">
        <v>0.45</v>
      </c>
      <c r="DB114" s="382">
        <v>0.6</v>
      </c>
      <c r="DC114" s="382"/>
      <c r="DD114" s="382" t="s">
        <v>419</v>
      </c>
      <c r="DE114" s="382" t="s">
        <v>433</v>
      </c>
      <c r="DF114" s="382" t="s">
        <v>432</v>
      </c>
      <c r="DG114" s="382"/>
      <c r="DH114" s="382"/>
      <c r="DI114" s="382"/>
      <c r="DJ114" s="382"/>
      <c r="DK114" s="382"/>
      <c r="DL114" s="382"/>
      <c r="DM114" s="382"/>
      <c r="DN114" s="382"/>
      <c r="DO114" s="382"/>
      <c r="DP114" s="382"/>
      <c r="DQ114" s="382"/>
      <c r="DR114" s="382"/>
      <c r="DS114" s="382"/>
      <c r="DT114" s="382"/>
      <c r="DU114" s="382"/>
      <c r="DV114" s="382"/>
      <c r="DW114" s="382"/>
      <c r="DX114" s="382"/>
      <c r="DY114" s="382"/>
      <c r="DZ114" s="382"/>
      <c r="EA114" s="382"/>
      <c r="EB114" s="580"/>
    </row>
    <row r="115" spans="1:132" s="517" customFormat="1" ht="13.5" hidden="1" thickBot="1" x14ac:dyDescent="0.35">
      <c r="A115" s="580"/>
      <c r="B115" s="580"/>
      <c r="C115" s="580"/>
      <c r="D115" s="580"/>
      <c r="E115" s="580"/>
      <c r="F115" s="580"/>
      <c r="G115" s="580"/>
      <c r="H115" s="580"/>
      <c r="I115" s="580"/>
      <c r="J115" s="580"/>
      <c r="K115" s="580"/>
      <c r="L115" s="580"/>
      <c r="M115" s="580"/>
      <c r="N115" s="580"/>
      <c r="O115" s="580"/>
      <c r="P115" s="580"/>
      <c r="Q115" s="580"/>
      <c r="R115" s="580"/>
      <c r="S115" s="580"/>
      <c r="T115" s="580"/>
      <c r="U115" s="580"/>
      <c r="V115" s="580"/>
      <c r="W115" s="580"/>
      <c r="X115" s="580"/>
      <c r="Y115" s="580"/>
      <c r="Z115" s="580"/>
      <c r="AA115" s="382"/>
      <c r="AB115" s="382"/>
      <c r="AC115" s="382"/>
      <c r="AD115" s="382"/>
      <c r="AE115" s="382"/>
      <c r="AF115" s="382"/>
      <c r="AG115" s="382"/>
      <c r="AH115" s="382"/>
      <c r="AI115" s="382"/>
      <c r="AJ115" s="382"/>
      <c r="AK115" s="382"/>
      <c r="AL115" s="522"/>
      <c r="AM115" s="441"/>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c r="BP115" s="382"/>
      <c r="BQ115" s="382"/>
      <c r="BR115" s="382"/>
      <c r="BS115" s="382"/>
      <c r="BT115" s="382"/>
      <c r="BU115" s="382"/>
      <c r="BV115" s="382"/>
      <c r="BW115" s="382"/>
      <c r="BX115" s="382"/>
      <c r="BY115" s="382"/>
      <c r="BZ115" s="382"/>
      <c r="CA115" s="382"/>
      <c r="CB115" s="382"/>
      <c r="CC115" s="382"/>
      <c r="CD115" s="382"/>
      <c r="CE115" s="382"/>
      <c r="CF115" s="382"/>
      <c r="CG115" s="382"/>
      <c r="CH115" s="382"/>
      <c r="CI115" s="382"/>
      <c r="CJ115" s="382"/>
      <c r="CK115" s="382"/>
      <c r="CL115" s="382"/>
      <c r="CM115" s="382"/>
      <c r="CN115" s="382"/>
      <c r="CO115" s="382"/>
      <c r="CP115" s="382"/>
      <c r="CQ115" s="382"/>
      <c r="CR115" s="382"/>
      <c r="CS115" s="382" t="s">
        <v>419</v>
      </c>
      <c r="CT115" s="382"/>
      <c r="CU115" s="382" t="s">
        <v>418</v>
      </c>
      <c r="CV115" s="382"/>
      <c r="CW115" s="382"/>
      <c r="CX115" s="382" t="s">
        <v>429</v>
      </c>
      <c r="CY115" s="382" t="s">
        <v>427</v>
      </c>
      <c r="CZ115" s="382">
        <v>0.45</v>
      </c>
      <c r="DA115" s="382">
        <v>0.22</v>
      </c>
      <c r="DB115" s="382">
        <v>0.16</v>
      </c>
      <c r="DC115" s="382"/>
      <c r="DD115" s="382" t="s">
        <v>445</v>
      </c>
      <c r="DE115" s="382" t="s">
        <v>432</v>
      </c>
      <c r="DF115" s="382" t="s">
        <v>433</v>
      </c>
      <c r="DG115" s="382"/>
      <c r="DH115" s="382"/>
      <c r="DI115" s="382"/>
      <c r="DJ115" s="382"/>
      <c r="DK115" s="382"/>
      <c r="DL115" s="382"/>
      <c r="DM115" s="382"/>
      <c r="DN115" s="382"/>
      <c r="DO115" s="382"/>
      <c r="DP115" s="382"/>
      <c r="DQ115" s="382"/>
      <c r="DR115" s="382"/>
      <c r="DS115" s="382"/>
      <c r="DT115" s="382"/>
      <c r="DU115" s="382"/>
      <c r="DV115" s="382"/>
      <c r="DW115" s="382"/>
      <c r="DX115" s="382"/>
      <c r="DY115" s="382"/>
      <c r="DZ115" s="382"/>
      <c r="EA115" s="382"/>
      <c r="EB115" s="580"/>
    </row>
    <row r="116" spans="1:132" s="517" customFormat="1" hidden="1" x14ac:dyDescent="0.3">
      <c r="A116" s="580"/>
      <c r="B116" s="580"/>
      <c r="C116" s="580"/>
      <c r="D116" s="580"/>
      <c r="E116" s="580"/>
      <c r="F116" s="580"/>
      <c r="G116" s="580"/>
      <c r="H116" s="580"/>
      <c r="I116" s="580"/>
      <c r="J116" s="580"/>
      <c r="K116" s="580"/>
      <c r="L116" s="580"/>
      <c r="M116" s="580"/>
      <c r="N116" s="580"/>
      <c r="O116" s="580"/>
      <c r="P116" s="580"/>
      <c r="Q116" s="580"/>
      <c r="R116" s="580"/>
      <c r="S116" s="580"/>
      <c r="T116" s="580"/>
      <c r="U116" s="580"/>
      <c r="V116" s="580"/>
      <c r="W116" s="580"/>
      <c r="X116" s="580"/>
      <c r="Y116" s="580"/>
      <c r="Z116" s="580"/>
      <c r="AA116" s="382"/>
      <c r="AB116" s="382"/>
      <c r="AC116" s="382"/>
      <c r="AD116" s="382"/>
      <c r="AE116" s="382"/>
      <c r="AF116" s="382"/>
      <c r="AG116" s="382"/>
      <c r="AH116" s="382"/>
      <c r="AI116" s="382"/>
      <c r="AJ116" s="382"/>
      <c r="AK116" s="382"/>
      <c r="AL116" s="522"/>
      <c r="AM116" s="441"/>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c r="BP116" s="382"/>
      <c r="BQ116" s="382"/>
      <c r="BR116" s="382"/>
      <c r="BS116" s="382"/>
      <c r="BT116" s="382"/>
      <c r="BU116" s="382"/>
      <c r="BV116" s="382"/>
      <c r="BW116" s="382"/>
      <c r="BX116" s="382"/>
      <c r="BY116" s="382"/>
      <c r="BZ116" s="382"/>
      <c r="CA116" s="382"/>
      <c r="CB116" s="382"/>
      <c r="CC116" s="382"/>
      <c r="CD116" s="382"/>
      <c r="CE116" s="382"/>
      <c r="CF116" s="382"/>
      <c r="CG116" s="382"/>
      <c r="CH116" s="382"/>
      <c r="CI116" s="382"/>
      <c r="CJ116" s="382"/>
      <c r="CK116" s="382"/>
      <c r="CL116" s="382"/>
      <c r="CM116" s="382"/>
      <c r="CN116" s="382"/>
      <c r="CO116" s="382"/>
      <c r="CP116" s="382"/>
      <c r="CQ116" s="382"/>
      <c r="CR116" s="382"/>
      <c r="CS116" s="382" t="s">
        <v>404</v>
      </c>
      <c r="CT116" s="382"/>
      <c r="CU116" s="382" t="s">
        <v>414</v>
      </c>
      <c r="CV116" s="382"/>
      <c r="CW116" s="382"/>
      <c r="CX116" s="382" t="s">
        <v>410</v>
      </c>
      <c r="CY116" s="382" t="s">
        <v>427</v>
      </c>
      <c r="CZ116" s="382">
        <v>0</v>
      </c>
      <c r="DA116" s="382">
        <v>0</v>
      </c>
      <c r="DB116" s="382">
        <v>0</v>
      </c>
      <c r="DC116" s="382"/>
      <c r="DD116" s="382" t="s">
        <v>404</v>
      </c>
      <c r="DE116" s="382" t="s">
        <v>432</v>
      </c>
      <c r="DF116" s="382" t="s">
        <v>526</v>
      </c>
      <c r="DG116" s="382"/>
      <c r="DH116" s="382"/>
      <c r="DI116" s="523" t="s">
        <v>469</v>
      </c>
      <c r="DJ116" s="524"/>
      <c r="DK116" s="382"/>
      <c r="DL116" s="382"/>
      <c r="DM116" s="382"/>
      <c r="DN116" s="382"/>
      <c r="DO116" s="382"/>
      <c r="DP116" s="382"/>
      <c r="DQ116" s="382"/>
      <c r="DR116" s="382"/>
      <c r="DS116" s="382"/>
      <c r="DT116" s="382"/>
      <c r="DU116" s="382"/>
      <c r="DV116" s="382"/>
      <c r="DW116" s="382"/>
      <c r="DX116" s="382"/>
      <c r="DY116" s="382"/>
      <c r="DZ116" s="382"/>
      <c r="EA116" s="382"/>
      <c r="EB116" s="580"/>
    </row>
    <row r="117" spans="1:132" s="517" customFormat="1" hidden="1" x14ac:dyDescent="0.3">
      <c r="A117" s="580"/>
      <c r="B117" s="580"/>
      <c r="C117" s="580"/>
      <c r="D117" s="580"/>
      <c r="E117" s="580"/>
      <c r="F117" s="580"/>
      <c r="G117" s="580"/>
      <c r="H117" s="580"/>
      <c r="I117" s="580"/>
      <c r="J117" s="580"/>
      <c r="K117" s="580"/>
      <c r="L117" s="580"/>
      <c r="M117" s="580"/>
      <c r="N117" s="580"/>
      <c r="O117" s="580"/>
      <c r="P117" s="580"/>
      <c r="Q117" s="580"/>
      <c r="R117" s="580"/>
      <c r="S117" s="580"/>
      <c r="T117" s="580"/>
      <c r="U117" s="580"/>
      <c r="V117" s="580"/>
      <c r="W117" s="580"/>
      <c r="X117" s="580"/>
      <c r="Y117" s="580"/>
      <c r="Z117" s="580"/>
      <c r="AA117" s="382"/>
      <c r="AB117" s="382"/>
      <c r="AC117" s="382"/>
      <c r="AD117" s="382"/>
      <c r="AE117" s="382"/>
      <c r="AF117" s="382"/>
      <c r="AG117" s="382"/>
      <c r="AH117" s="382"/>
      <c r="AI117" s="382"/>
      <c r="AJ117" s="382"/>
      <c r="AK117" s="382"/>
      <c r="AL117" s="522"/>
      <c r="AM117" s="441"/>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c r="BP117" s="382"/>
      <c r="BQ117" s="382"/>
      <c r="BR117" s="382"/>
      <c r="BS117" s="382"/>
      <c r="BT117" s="382"/>
      <c r="BU117" s="382"/>
      <c r="BV117" s="382"/>
      <c r="BW117" s="382"/>
      <c r="BX117" s="382"/>
      <c r="BY117" s="382"/>
      <c r="BZ117" s="382"/>
      <c r="CA117" s="382"/>
      <c r="CB117" s="382"/>
      <c r="CC117" s="382"/>
      <c r="CD117" s="382"/>
      <c r="CE117" s="382"/>
      <c r="CF117" s="382"/>
      <c r="CG117" s="382"/>
      <c r="CH117" s="382"/>
      <c r="CI117" s="382"/>
      <c r="CJ117" s="382"/>
      <c r="CK117" s="382"/>
      <c r="CL117" s="382"/>
      <c r="CM117" s="382"/>
      <c r="CN117" s="382"/>
      <c r="CO117" s="382"/>
      <c r="CP117" s="382"/>
      <c r="CQ117" s="382"/>
      <c r="CR117" s="382"/>
      <c r="CS117" s="382" t="s">
        <v>406</v>
      </c>
      <c r="CT117" s="382"/>
      <c r="CU117" s="382" t="s">
        <v>415</v>
      </c>
      <c r="CV117" s="382"/>
      <c r="CW117" s="382"/>
      <c r="CX117" s="382" t="s">
        <v>411</v>
      </c>
      <c r="CY117" s="382"/>
      <c r="CZ117" s="382">
        <v>0.9</v>
      </c>
      <c r="DA117" s="382">
        <v>0.9</v>
      </c>
      <c r="DB117" s="382">
        <v>0.9</v>
      </c>
      <c r="DC117" s="382"/>
      <c r="DD117" s="382" t="s">
        <v>406</v>
      </c>
      <c r="DE117" s="382" t="s">
        <v>432</v>
      </c>
      <c r="DF117" s="382" t="s">
        <v>527</v>
      </c>
      <c r="DG117" s="382"/>
      <c r="DH117" s="382"/>
      <c r="DI117" s="525"/>
      <c r="DJ117" s="526"/>
      <c r="DK117" s="382"/>
      <c r="DL117" s="382"/>
      <c r="DM117" s="382"/>
      <c r="DN117" s="382"/>
      <c r="DO117" s="382"/>
      <c r="DP117" s="382"/>
      <c r="DQ117" s="382"/>
      <c r="DR117" s="382"/>
      <c r="DS117" s="382"/>
      <c r="DT117" s="382"/>
      <c r="DU117" s="382"/>
      <c r="DV117" s="382"/>
      <c r="DW117" s="382"/>
      <c r="DX117" s="382"/>
      <c r="DY117" s="382"/>
      <c r="DZ117" s="382"/>
      <c r="EA117" s="382"/>
      <c r="EB117" s="580"/>
    </row>
    <row r="118" spans="1:132" s="517" customFormat="1" hidden="1" x14ac:dyDescent="0.3">
      <c r="A118" s="580"/>
      <c r="B118" s="580"/>
      <c r="C118" s="580"/>
      <c r="D118" s="580"/>
      <c r="E118" s="580"/>
      <c r="F118" s="580"/>
      <c r="G118" s="580"/>
      <c r="H118" s="580"/>
      <c r="I118" s="580"/>
      <c r="J118" s="580"/>
      <c r="K118" s="580"/>
      <c r="L118" s="580"/>
      <c r="M118" s="580"/>
      <c r="N118" s="580"/>
      <c r="O118" s="580"/>
      <c r="P118" s="580"/>
      <c r="Q118" s="580"/>
      <c r="R118" s="580"/>
      <c r="S118" s="580"/>
      <c r="T118" s="580"/>
      <c r="U118" s="580"/>
      <c r="V118" s="580"/>
      <c r="W118" s="580"/>
      <c r="X118" s="580"/>
      <c r="Y118" s="580"/>
      <c r="Z118" s="580"/>
      <c r="AA118" s="382"/>
      <c r="AB118" s="382"/>
      <c r="AC118" s="382"/>
      <c r="AD118" s="382"/>
      <c r="AE118" s="382"/>
      <c r="AF118" s="382"/>
      <c r="AG118" s="382"/>
      <c r="AH118" s="382"/>
      <c r="AI118" s="382"/>
      <c r="AJ118" s="382"/>
      <c r="AK118" s="382"/>
      <c r="AL118" s="522"/>
      <c r="AM118" s="441"/>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c r="CA118" s="382"/>
      <c r="CB118" s="382"/>
      <c r="CC118" s="382"/>
      <c r="CD118" s="382"/>
      <c r="CE118" s="382"/>
      <c r="CF118" s="382"/>
      <c r="CG118" s="382"/>
      <c r="CH118" s="382"/>
      <c r="CI118" s="382"/>
      <c r="CJ118" s="382"/>
      <c r="CK118" s="382"/>
      <c r="CL118" s="382"/>
      <c r="CM118" s="382"/>
      <c r="CN118" s="382"/>
      <c r="CO118" s="382"/>
      <c r="CP118" s="382"/>
      <c r="CQ118" s="382"/>
      <c r="CR118" s="382"/>
      <c r="CS118" s="382"/>
      <c r="CT118" s="382"/>
      <c r="CU118" s="527">
        <v>0</v>
      </c>
      <c r="CV118" s="382"/>
      <c r="CW118" s="382"/>
      <c r="CX118" s="382" t="s">
        <v>418</v>
      </c>
      <c r="CY118" s="382" t="s">
        <v>427</v>
      </c>
      <c r="CZ118" s="382">
        <v>0.9</v>
      </c>
      <c r="DA118" s="382">
        <v>0.9</v>
      </c>
      <c r="DB118" s="382">
        <v>0.9</v>
      </c>
      <c r="DC118" s="382"/>
      <c r="DD118" s="382"/>
      <c r="DE118" s="382"/>
      <c r="DF118" s="382"/>
      <c r="DG118" s="382"/>
      <c r="DH118" s="382"/>
      <c r="DI118" s="525"/>
      <c r="DJ118" s="526" t="s">
        <v>328</v>
      </c>
      <c r="DK118" s="382"/>
      <c r="DL118" s="382"/>
      <c r="DM118" s="382"/>
      <c r="DN118" s="382"/>
      <c r="DO118" s="382"/>
      <c r="DP118" s="382"/>
      <c r="DQ118" s="382"/>
      <c r="DR118" s="382"/>
      <c r="DS118" s="382"/>
      <c r="DT118" s="382"/>
      <c r="DU118" s="382"/>
      <c r="DV118" s="382"/>
      <c r="DW118" s="382"/>
      <c r="DX118" s="382"/>
      <c r="DY118" s="382"/>
      <c r="DZ118" s="382"/>
      <c r="EA118" s="382"/>
      <c r="EB118" s="580"/>
    </row>
    <row r="119" spans="1:132" s="517" customFormat="1" hidden="1" x14ac:dyDescent="0.3">
      <c r="A119" s="580"/>
      <c r="B119" s="580"/>
      <c r="C119" s="580"/>
      <c r="D119" s="580"/>
      <c r="E119" s="580"/>
      <c r="F119" s="580"/>
      <c r="G119" s="580"/>
      <c r="H119" s="580"/>
      <c r="I119" s="580"/>
      <c r="J119" s="580"/>
      <c r="K119" s="580"/>
      <c r="L119" s="580"/>
      <c r="M119" s="580"/>
      <c r="N119" s="580"/>
      <c r="O119" s="580"/>
      <c r="P119" s="580"/>
      <c r="Q119" s="580"/>
      <c r="R119" s="580"/>
      <c r="S119" s="580"/>
      <c r="T119" s="580"/>
      <c r="U119" s="580"/>
      <c r="V119" s="580"/>
      <c r="W119" s="580"/>
      <c r="X119" s="580"/>
      <c r="Y119" s="580"/>
      <c r="Z119" s="580"/>
      <c r="AA119" s="382"/>
      <c r="AB119" s="382"/>
      <c r="AC119" s="382"/>
      <c r="AD119" s="382"/>
      <c r="AE119" s="382"/>
      <c r="AF119" s="382"/>
      <c r="AG119" s="382"/>
      <c r="AH119" s="382"/>
      <c r="AI119" s="382"/>
      <c r="AJ119" s="382"/>
      <c r="AK119" s="382"/>
      <c r="AL119" s="522"/>
      <c r="AM119" s="441"/>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c r="BP119" s="382"/>
      <c r="BQ119" s="382"/>
      <c r="BR119" s="382"/>
      <c r="BS119" s="382"/>
      <c r="BT119" s="382"/>
      <c r="BU119" s="382"/>
      <c r="BV119" s="382"/>
      <c r="BW119" s="382"/>
      <c r="BX119" s="382"/>
      <c r="BY119" s="382"/>
      <c r="BZ119" s="382"/>
      <c r="CA119" s="382"/>
      <c r="CB119" s="382"/>
      <c r="CC119" s="382"/>
      <c r="CD119" s="382"/>
      <c r="CE119" s="382"/>
      <c r="CF119" s="382"/>
      <c r="CG119" s="382"/>
      <c r="CH119" s="382"/>
      <c r="CI119" s="382"/>
      <c r="CJ119" s="382"/>
      <c r="CK119" s="382"/>
      <c r="CL119" s="382"/>
      <c r="CM119" s="382"/>
      <c r="CN119" s="382"/>
      <c r="CO119" s="382"/>
      <c r="CP119" s="382"/>
      <c r="CQ119" s="382"/>
      <c r="CR119" s="382"/>
      <c r="CS119" s="382"/>
      <c r="CT119" s="382"/>
      <c r="CU119" s="527">
        <v>0.05</v>
      </c>
      <c r="CV119" s="382"/>
      <c r="CW119" s="382"/>
      <c r="CX119" s="382" t="s">
        <v>414</v>
      </c>
      <c r="CY119" s="382" t="s">
        <v>427</v>
      </c>
      <c r="CZ119" s="382">
        <v>0.45</v>
      </c>
      <c r="DA119" s="382">
        <v>0.45</v>
      </c>
      <c r="DB119" s="382">
        <v>0.3</v>
      </c>
      <c r="DC119" s="382"/>
      <c r="DD119" s="382"/>
      <c r="DE119" s="382"/>
      <c r="DF119" s="382"/>
      <c r="DG119" s="382"/>
      <c r="DH119" s="382"/>
      <c r="DI119" s="525">
        <v>1</v>
      </c>
      <c r="DJ119" s="526" t="s">
        <v>318</v>
      </c>
      <c r="DK119" s="382"/>
      <c r="DL119" s="382"/>
      <c r="DM119" s="382"/>
      <c r="DN119" s="382"/>
      <c r="DO119" s="382"/>
      <c r="DP119" s="382"/>
      <c r="DQ119" s="382"/>
      <c r="DR119" s="382"/>
      <c r="DS119" s="382"/>
      <c r="DT119" s="382"/>
      <c r="DU119" s="382"/>
      <c r="DV119" s="382"/>
      <c r="DW119" s="382"/>
      <c r="DX119" s="382"/>
      <c r="DY119" s="382"/>
      <c r="DZ119" s="382"/>
      <c r="EA119" s="382"/>
      <c r="EB119" s="580"/>
    </row>
    <row r="120" spans="1:132" s="517" customFormat="1" hidden="1" x14ac:dyDescent="0.3">
      <c r="A120" s="580"/>
      <c r="B120" s="580"/>
      <c r="C120" s="580"/>
      <c r="D120" s="580"/>
      <c r="E120" s="580"/>
      <c r="F120" s="580"/>
      <c r="G120" s="580"/>
      <c r="H120" s="580"/>
      <c r="I120" s="580"/>
      <c r="J120" s="580"/>
      <c r="K120" s="580"/>
      <c r="L120" s="580"/>
      <c r="M120" s="580"/>
      <c r="N120" s="580"/>
      <c r="O120" s="580"/>
      <c r="P120" s="580"/>
      <c r="Q120" s="580"/>
      <c r="R120" s="580"/>
      <c r="S120" s="580"/>
      <c r="T120" s="580"/>
      <c r="U120" s="580"/>
      <c r="V120" s="580"/>
      <c r="W120" s="580"/>
      <c r="X120" s="580"/>
      <c r="Y120" s="580"/>
      <c r="Z120" s="580"/>
      <c r="AA120" s="382"/>
      <c r="AB120" s="382"/>
      <c r="AC120" s="382"/>
      <c r="AD120" s="382"/>
      <c r="AE120" s="382"/>
      <c r="AF120" s="382"/>
      <c r="AG120" s="382"/>
      <c r="AH120" s="382"/>
      <c r="AI120" s="382"/>
      <c r="AJ120" s="382"/>
      <c r="AK120" s="382"/>
      <c r="AL120" s="522"/>
      <c r="AM120" s="441"/>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c r="BP120" s="382"/>
      <c r="BQ120" s="382"/>
      <c r="BR120" s="382"/>
      <c r="BS120" s="382"/>
      <c r="BT120" s="382"/>
      <c r="BU120" s="382"/>
      <c r="BV120" s="382"/>
      <c r="BW120" s="382"/>
      <c r="BX120" s="382"/>
      <c r="BY120" s="382"/>
      <c r="BZ120" s="382"/>
      <c r="CA120" s="382"/>
      <c r="CB120" s="382"/>
      <c r="CC120" s="382"/>
      <c r="CD120" s="382"/>
      <c r="CE120" s="382"/>
      <c r="CF120" s="382"/>
      <c r="CG120" s="382"/>
      <c r="CH120" s="382"/>
      <c r="CI120" s="382"/>
      <c r="CJ120" s="382"/>
      <c r="CK120" s="382"/>
      <c r="CL120" s="382"/>
      <c r="CM120" s="382"/>
      <c r="CN120" s="382"/>
      <c r="CO120" s="382"/>
      <c r="CP120" s="382"/>
      <c r="CQ120" s="382"/>
      <c r="CR120" s="382"/>
      <c r="CS120" s="382"/>
      <c r="CT120" s="382"/>
      <c r="CU120" s="527">
        <v>0.1</v>
      </c>
      <c r="CV120" s="382"/>
      <c r="CW120" s="382"/>
      <c r="CX120" s="382" t="s">
        <v>415</v>
      </c>
      <c r="CY120" s="382" t="s">
        <v>427</v>
      </c>
      <c r="CZ120" s="382">
        <v>0.45</v>
      </c>
      <c r="DA120" s="382">
        <v>0.45</v>
      </c>
      <c r="DB120" s="382">
        <v>0.3</v>
      </c>
      <c r="DC120" s="382"/>
      <c r="DD120" s="382"/>
      <c r="DE120" s="382"/>
      <c r="DF120" s="382"/>
      <c r="DG120" s="382"/>
      <c r="DH120" s="382"/>
      <c r="DI120" s="525">
        <v>2</v>
      </c>
      <c r="DJ120" s="526" t="s">
        <v>323</v>
      </c>
      <c r="DK120" s="382"/>
      <c r="DL120" s="382"/>
      <c r="DM120" s="382"/>
      <c r="DN120" s="382"/>
      <c r="DO120" s="382"/>
      <c r="DP120" s="382"/>
      <c r="DQ120" s="382"/>
      <c r="DR120" s="382"/>
      <c r="DS120" s="382"/>
      <c r="DT120" s="382"/>
      <c r="DU120" s="382"/>
      <c r="DV120" s="382"/>
      <c r="DW120" s="382"/>
      <c r="DX120" s="382"/>
      <c r="DY120" s="382"/>
      <c r="DZ120" s="382"/>
      <c r="EA120" s="382"/>
      <c r="EB120" s="580"/>
    </row>
    <row r="121" spans="1:132" s="517" customFormat="1" hidden="1" x14ac:dyDescent="0.3">
      <c r="A121" s="580"/>
      <c r="B121" s="580"/>
      <c r="C121" s="580"/>
      <c r="D121" s="580"/>
      <c r="E121" s="580"/>
      <c r="F121" s="580"/>
      <c r="G121" s="580"/>
      <c r="H121" s="580"/>
      <c r="I121" s="580"/>
      <c r="J121" s="580"/>
      <c r="K121" s="580"/>
      <c r="L121" s="580"/>
      <c r="M121" s="580"/>
      <c r="N121" s="580"/>
      <c r="O121" s="580"/>
      <c r="P121" s="580"/>
      <c r="Q121" s="580"/>
      <c r="R121" s="580"/>
      <c r="S121" s="580"/>
      <c r="T121" s="580"/>
      <c r="U121" s="580"/>
      <c r="V121" s="580"/>
      <c r="W121" s="580"/>
      <c r="X121" s="580"/>
      <c r="Y121" s="580"/>
      <c r="Z121" s="580"/>
      <c r="AA121" s="382"/>
      <c r="AB121" s="382"/>
      <c r="AC121" s="382"/>
      <c r="AD121" s="382"/>
      <c r="AE121" s="382"/>
      <c r="AF121" s="382"/>
      <c r="AG121" s="382"/>
      <c r="AH121" s="382"/>
      <c r="AI121" s="382"/>
      <c r="AJ121" s="382"/>
      <c r="AK121" s="382"/>
      <c r="AL121" s="522"/>
      <c r="AM121" s="441"/>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c r="BP121" s="382"/>
      <c r="BQ121" s="382"/>
      <c r="BR121" s="382"/>
      <c r="BS121" s="382"/>
      <c r="BT121" s="382"/>
      <c r="BU121" s="382"/>
      <c r="BV121" s="382"/>
      <c r="BW121" s="382"/>
      <c r="BX121" s="382"/>
      <c r="BY121" s="382"/>
      <c r="BZ121" s="382"/>
      <c r="CA121" s="382"/>
      <c r="CB121" s="382"/>
      <c r="CC121" s="382"/>
      <c r="CD121" s="382"/>
      <c r="CE121" s="382"/>
      <c r="CF121" s="382"/>
      <c r="CG121" s="382"/>
      <c r="CH121" s="382"/>
      <c r="CI121" s="382"/>
      <c r="CJ121" s="382"/>
      <c r="CK121" s="382"/>
      <c r="CL121" s="382"/>
      <c r="CM121" s="382"/>
      <c r="CN121" s="382"/>
      <c r="CO121" s="382"/>
      <c r="CP121" s="382"/>
      <c r="CQ121" s="382"/>
      <c r="CR121" s="382"/>
      <c r="CS121" s="382"/>
      <c r="CT121" s="382"/>
      <c r="CU121" s="527">
        <v>0.15</v>
      </c>
      <c r="CV121" s="382"/>
      <c r="CW121" s="382"/>
      <c r="CX121" s="382" t="s">
        <v>413</v>
      </c>
      <c r="CY121" s="382" t="s">
        <v>428</v>
      </c>
      <c r="CZ121" s="382">
        <v>0.6</v>
      </c>
      <c r="DA121" s="382">
        <v>0.3</v>
      </c>
      <c r="DB121" s="382">
        <v>0.2</v>
      </c>
      <c r="DC121" s="382"/>
      <c r="DD121" s="382"/>
      <c r="DE121" s="382"/>
      <c r="DF121" s="382"/>
      <c r="DG121" s="382"/>
      <c r="DH121" s="382"/>
      <c r="DI121" s="525">
        <v>3</v>
      </c>
      <c r="DJ121" s="526" t="s">
        <v>319</v>
      </c>
      <c r="DK121" s="382"/>
      <c r="DL121" s="382"/>
      <c r="DM121" s="382"/>
      <c r="DN121" s="382"/>
      <c r="DO121" s="382"/>
      <c r="DP121" s="382"/>
      <c r="DQ121" s="382"/>
      <c r="DR121" s="382"/>
      <c r="DS121" s="382"/>
      <c r="DT121" s="382"/>
      <c r="DU121" s="382"/>
      <c r="DV121" s="382"/>
      <c r="DW121" s="382"/>
      <c r="DX121" s="382"/>
      <c r="DY121" s="382"/>
      <c r="DZ121" s="382"/>
      <c r="EA121" s="382"/>
      <c r="EB121" s="580"/>
    </row>
    <row r="122" spans="1:132" s="517" customFormat="1" hidden="1" x14ac:dyDescent="0.3">
      <c r="A122" s="580"/>
      <c r="B122" s="580"/>
      <c r="C122" s="580"/>
      <c r="D122" s="580"/>
      <c r="E122" s="580"/>
      <c r="F122" s="580"/>
      <c r="G122" s="580"/>
      <c r="H122" s="580"/>
      <c r="I122" s="580"/>
      <c r="J122" s="580"/>
      <c r="K122" s="580"/>
      <c r="L122" s="580"/>
      <c r="M122" s="580"/>
      <c r="N122" s="580"/>
      <c r="O122" s="580"/>
      <c r="P122" s="580"/>
      <c r="Q122" s="580"/>
      <c r="R122" s="580"/>
      <c r="S122" s="580"/>
      <c r="T122" s="580"/>
      <c r="U122" s="580"/>
      <c r="V122" s="580"/>
      <c r="W122" s="580"/>
      <c r="X122" s="580"/>
      <c r="Y122" s="580"/>
      <c r="Z122" s="580"/>
      <c r="AA122" s="382"/>
      <c r="AB122" s="382"/>
      <c r="AC122" s="382"/>
      <c r="AD122" s="382"/>
      <c r="AE122" s="382"/>
      <c r="AF122" s="382"/>
      <c r="AG122" s="382"/>
      <c r="AH122" s="382"/>
      <c r="AI122" s="382"/>
      <c r="AJ122" s="382"/>
      <c r="AK122" s="382"/>
      <c r="AL122" s="522"/>
      <c r="AM122" s="441"/>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c r="BP122" s="382"/>
      <c r="BQ122" s="382"/>
      <c r="BR122" s="382"/>
      <c r="BS122" s="382"/>
      <c r="BT122" s="382"/>
      <c r="BU122" s="382"/>
      <c r="BV122" s="382"/>
      <c r="BW122" s="382"/>
      <c r="BX122" s="382"/>
      <c r="BY122" s="382"/>
      <c r="BZ122" s="382"/>
      <c r="CA122" s="382"/>
      <c r="CB122" s="382"/>
      <c r="CC122" s="382"/>
      <c r="CD122" s="382"/>
      <c r="CE122" s="382"/>
      <c r="CF122" s="382"/>
      <c r="CG122" s="382"/>
      <c r="CH122" s="382"/>
      <c r="CI122" s="382"/>
      <c r="CJ122" s="382"/>
      <c r="CK122" s="382"/>
      <c r="CL122" s="382"/>
      <c r="CM122" s="382"/>
      <c r="CN122" s="382"/>
      <c r="CO122" s="382"/>
      <c r="CP122" s="382"/>
      <c r="CQ122" s="382"/>
      <c r="CR122" s="382"/>
      <c r="CS122" s="382"/>
      <c r="CT122" s="382"/>
      <c r="CU122" s="527">
        <v>0.2</v>
      </c>
      <c r="CV122" s="382"/>
      <c r="CW122" s="382"/>
      <c r="CX122" s="382" t="s">
        <v>417</v>
      </c>
      <c r="CY122" s="382" t="s">
        <v>428</v>
      </c>
      <c r="CZ122" s="382">
        <v>0.6</v>
      </c>
      <c r="DA122" s="382">
        <v>0.3</v>
      </c>
      <c r="DB122" s="382">
        <v>0.4</v>
      </c>
      <c r="DC122" s="382"/>
      <c r="DD122" s="382"/>
      <c r="DE122" s="382"/>
      <c r="DF122" s="382"/>
      <c r="DG122" s="382"/>
      <c r="DH122" s="382"/>
      <c r="DI122" s="525">
        <v>4</v>
      </c>
      <c r="DJ122" s="526" t="s">
        <v>320</v>
      </c>
      <c r="DK122" s="382"/>
      <c r="DL122" s="382"/>
      <c r="DM122" s="382"/>
      <c r="DN122" s="382"/>
      <c r="DO122" s="382"/>
      <c r="DP122" s="382"/>
      <c r="DQ122" s="382"/>
      <c r="DR122" s="382"/>
      <c r="DS122" s="382"/>
      <c r="DT122" s="382"/>
      <c r="DU122" s="382"/>
      <c r="DV122" s="382"/>
      <c r="DW122" s="382"/>
      <c r="DX122" s="382"/>
      <c r="DY122" s="382"/>
      <c r="DZ122" s="382"/>
      <c r="EA122" s="382"/>
      <c r="EB122" s="580"/>
    </row>
    <row r="123" spans="1:132" s="517" customFormat="1" hidden="1" x14ac:dyDescent="0.3">
      <c r="A123" s="580"/>
      <c r="B123" s="580"/>
      <c r="C123" s="580"/>
      <c r="D123" s="580"/>
      <c r="E123" s="580"/>
      <c r="F123" s="580"/>
      <c r="G123" s="580"/>
      <c r="H123" s="580"/>
      <c r="I123" s="580"/>
      <c r="J123" s="580"/>
      <c r="K123" s="580"/>
      <c r="L123" s="580"/>
      <c r="M123" s="580"/>
      <c r="N123" s="580"/>
      <c r="O123" s="580"/>
      <c r="P123" s="580"/>
      <c r="Q123" s="580"/>
      <c r="R123" s="580"/>
      <c r="S123" s="580"/>
      <c r="T123" s="580"/>
      <c r="U123" s="580"/>
      <c r="V123" s="580"/>
      <c r="W123" s="580"/>
      <c r="X123" s="580"/>
      <c r="Y123" s="580"/>
      <c r="Z123" s="580"/>
      <c r="AA123" s="382"/>
      <c r="AB123" s="382"/>
      <c r="AC123" s="382"/>
      <c r="AD123" s="382"/>
      <c r="AE123" s="382"/>
      <c r="AF123" s="382"/>
      <c r="AG123" s="382"/>
      <c r="AH123" s="382"/>
      <c r="AI123" s="382"/>
      <c r="AJ123" s="382"/>
      <c r="AK123" s="382"/>
      <c r="AL123" s="522"/>
      <c r="AM123" s="441"/>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c r="BP123" s="382"/>
      <c r="BQ123" s="382"/>
      <c r="BR123" s="382"/>
      <c r="BS123" s="382"/>
      <c r="BT123" s="382"/>
      <c r="BU123" s="382"/>
      <c r="BV123" s="382"/>
      <c r="BW123" s="382"/>
      <c r="BX123" s="382"/>
      <c r="BY123" s="382"/>
      <c r="BZ123" s="382"/>
      <c r="CA123" s="382"/>
      <c r="CB123" s="382"/>
      <c r="CC123" s="382"/>
      <c r="CD123" s="382"/>
      <c r="CE123" s="382"/>
      <c r="CF123" s="382"/>
      <c r="CG123" s="382"/>
      <c r="CH123" s="382"/>
      <c r="CI123" s="382"/>
      <c r="CJ123" s="382"/>
      <c r="CK123" s="382"/>
      <c r="CL123" s="382"/>
      <c r="CM123" s="382"/>
      <c r="CN123" s="382"/>
      <c r="CO123" s="382"/>
      <c r="CP123" s="382"/>
      <c r="CQ123" s="382"/>
      <c r="CR123" s="382"/>
      <c r="CS123" s="382"/>
      <c r="CT123" s="382"/>
      <c r="CU123" s="527">
        <v>0.25</v>
      </c>
      <c r="CV123" s="382"/>
      <c r="CW123" s="382"/>
      <c r="CX123" s="382" t="s">
        <v>429</v>
      </c>
      <c r="CY123" s="382" t="s">
        <v>428</v>
      </c>
      <c r="CZ123" s="382">
        <v>0.45</v>
      </c>
      <c r="DA123" s="382">
        <v>0.22</v>
      </c>
      <c r="DB123" s="382">
        <v>0.16</v>
      </c>
      <c r="DC123" s="382"/>
      <c r="DD123" s="382"/>
      <c r="DE123" s="382"/>
      <c r="DF123" s="382"/>
      <c r="DG123" s="382"/>
      <c r="DH123" s="382"/>
      <c r="DI123" s="525">
        <v>5</v>
      </c>
      <c r="DJ123" s="526" t="s">
        <v>321</v>
      </c>
      <c r="DK123" s="382"/>
      <c r="DL123" s="382"/>
      <c r="DM123" s="382"/>
      <c r="DN123" s="382"/>
      <c r="DO123" s="382"/>
      <c r="DP123" s="382"/>
      <c r="DQ123" s="382"/>
      <c r="DR123" s="382"/>
      <c r="DS123" s="382"/>
      <c r="DT123" s="382"/>
      <c r="DU123" s="382"/>
      <c r="DV123" s="382"/>
      <c r="DW123" s="382"/>
      <c r="DX123" s="382"/>
      <c r="DY123" s="382"/>
      <c r="DZ123" s="382"/>
      <c r="EA123" s="382"/>
      <c r="EB123" s="580"/>
    </row>
    <row r="124" spans="1:132" s="517" customFormat="1" hidden="1" x14ac:dyDescent="0.3">
      <c r="A124" s="580"/>
      <c r="B124" s="580"/>
      <c r="C124" s="580"/>
      <c r="D124" s="580"/>
      <c r="E124" s="580"/>
      <c r="F124" s="580"/>
      <c r="G124" s="580"/>
      <c r="H124" s="580"/>
      <c r="I124" s="580"/>
      <c r="J124" s="580"/>
      <c r="K124" s="580"/>
      <c r="L124" s="580"/>
      <c r="M124" s="580"/>
      <c r="N124" s="580"/>
      <c r="O124" s="580"/>
      <c r="P124" s="580"/>
      <c r="Q124" s="580"/>
      <c r="R124" s="580"/>
      <c r="S124" s="580"/>
      <c r="T124" s="580"/>
      <c r="U124" s="580"/>
      <c r="V124" s="580"/>
      <c r="W124" s="580"/>
      <c r="X124" s="580"/>
      <c r="Y124" s="580"/>
      <c r="Z124" s="580"/>
      <c r="AA124" s="382"/>
      <c r="AB124" s="382"/>
      <c r="AC124" s="382"/>
      <c r="AD124" s="382"/>
      <c r="AE124" s="382"/>
      <c r="AF124" s="382"/>
      <c r="AG124" s="382"/>
      <c r="AH124" s="382"/>
      <c r="AI124" s="382"/>
      <c r="AJ124" s="382"/>
      <c r="AK124" s="382"/>
      <c r="AL124" s="522"/>
      <c r="AM124" s="441"/>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c r="BP124" s="382"/>
      <c r="BQ124" s="382"/>
      <c r="BR124" s="382"/>
      <c r="BS124" s="382"/>
      <c r="BT124" s="382"/>
      <c r="BU124" s="382"/>
      <c r="BV124" s="382"/>
      <c r="BW124" s="382"/>
      <c r="BX124" s="382"/>
      <c r="BY124" s="382"/>
      <c r="BZ124" s="382"/>
      <c r="CA124" s="382"/>
      <c r="CB124" s="382"/>
      <c r="CC124" s="382"/>
      <c r="CD124" s="382"/>
      <c r="CE124" s="382"/>
      <c r="CF124" s="382"/>
      <c r="CG124" s="382"/>
      <c r="CH124" s="382"/>
      <c r="CI124" s="382"/>
      <c r="CJ124" s="382"/>
      <c r="CK124" s="382"/>
      <c r="CL124" s="382"/>
      <c r="CM124" s="382"/>
      <c r="CN124" s="382"/>
      <c r="CO124" s="382"/>
      <c r="CP124" s="382"/>
      <c r="CQ124" s="382"/>
      <c r="CR124" s="382"/>
      <c r="CS124" s="382"/>
      <c r="CT124" s="382"/>
      <c r="CU124" s="527">
        <v>0.3</v>
      </c>
      <c r="CV124" s="382"/>
      <c r="CW124" s="382"/>
      <c r="CX124" s="382" t="s">
        <v>410</v>
      </c>
      <c r="CY124" s="382" t="s">
        <v>428</v>
      </c>
      <c r="CZ124" s="382">
        <v>0</v>
      </c>
      <c r="DA124" s="382">
        <v>0</v>
      </c>
      <c r="DB124" s="382">
        <v>0</v>
      </c>
      <c r="DC124" s="382"/>
      <c r="DD124" s="382">
        <v>1</v>
      </c>
      <c r="DE124" s="382">
        <v>1</v>
      </c>
      <c r="DF124" s="382"/>
      <c r="DG124" s="382"/>
      <c r="DH124" s="382"/>
      <c r="DI124" s="525">
        <v>6</v>
      </c>
      <c r="DJ124" s="526" t="s">
        <v>322</v>
      </c>
      <c r="DK124" s="382"/>
      <c r="DL124" s="382"/>
      <c r="DM124" s="382"/>
      <c r="DN124" s="382"/>
      <c r="DO124" s="382"/>
      <c r="DP124" s="382"/>
      <c r="DQ124" s="382"/>
      <c r="DR124" s="382"/>
      <c r="DS124" s="382"/>
      <c r="DT124" s="382"/>
      <c r="DU124" s="382"/>
      <c r="DV124" s="382"/>
      <c r="DW124" s="382"/>
      <c r="DX124" s="382"/>
      <c r="DY124" s="382"/>
      <c r="DZ124" s="382"/>
      <c r="EA124" s="382"/>
      <c r="EB124" s="580"/>
    </row>
    <row r="125" spans="1:132" s="517" customFormat="1" hidden="1" x14ac:dyDescent="0.3">
      <c r="A125" s="580"/>
      <c r="B125" s="580"/>
      <c r="C125" s="580"/>
      <c r="D125" s="580"/>
      <c r="E125" s="580"/>
      <c r="F125" s="580"/>
      <c r="G125" s="580"/>
      <c r="H125" s="580"/>
      <c r="I125" s="580"/>
      <c r="J125" s="580"/>
      <c r="K125" s="580"/>
      <c r="L125" s="580"/>
      <c r="M125" s="580"/>
      <c r="N125" s="580"/>
      <c r="O125" s="580"/>
      <c r="P125" s="580"/>
      <c r="Q125" s="580"/>
      <c r="R125" s="580"/>
      <c r="S125" s="580"/>
      <c r="T125" s="580"/>
      <c r="U125" s="580"/>
      <c r="V125" s="580"/>
      <c r="W125" s="580"/>
      <c r="X125" s="580"/>
      <c r="Y125" s="580"/>
      <c r="Z125" s="580"/>
      <c r="AA125" s="382"/>
      <c r="AB125" s="382"/>
      <c r="AC125" s="382"/>
      <c r="AD125" s="382"/>
      <c r="AE125" s="382"/>
      <c r="AF125" s="382"/>
      <c r="AG125" s="382"/>
      <c r="AH125" s="382"/>
      <c r="AI125" s="382"/>
      <c r="AJ125" s="382"/>
      <c r="AK125" s="382"/>
      <c r="AL125" s="522"/>
      <c r="AM125" s="441"/>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c r="BP125" s="382"/>
      <c r="BQ125" s="382"/>
      <c r="BR125" s="382"/>
      <c r="BS125" s="382"/>
      <c r="BT125" s="382"/>
      <c r="BU125" s="382"/>
      <c r="BV125" s="382"/>
      <c r="BW125" s="382"/>
      <c r="BX125" s="382"/>
      <c r="BY125" s="382"/>
      <c r="BZ125" s="382"/>
      <c r="CA125" s="382"/>
      <c r="CB125" s="382"/>
      <c r="CC125" s="382"/>
      <c r="CD125" s="382"/>
      <c r="CE125" s="382"/>
      <c r="CF125" s="382"/>
      <c r="CG125" s="382"/>
      <c r="CH125" s="382"/>
      <c r="CI125" s="382"/>
      <c r="CJ125" s="382"/>
      <c r="CK125" s="382"/>
      <c r="CL125" s="382"/>
      <c r="CM125" s="382"/>
      <c r="CN125" s="382"/>
      <c r="CO125" s="382"/>
      <c r="CP125" s="382"/>
      <c r="CQ125" s="382"/>
      <c r="CR125" s="382"/>
      <c r="CS125" s="382"/>
      <c r="CT125" s="382"/>
      <c r="CU125" s="527">
        <v>0.35</v>
      </c>
      <c r="CV125" s="382"/>
      <c r="CW125" s="382"/>
      <c r="CX125" s="382" t="s">
        <v>411</v>
      </c>
      <c r="CY125" s="382"/>
      <c r="CZ125" s="382">
        <v>0.9</v>
      </c>
      <c r="DA125" s="382">
        <v>0.9</v>
      </c>
      <c r="DB125" s="382">
        <v>0.9</v>
      </c>
      <c r="DC125" s="382"/>
      <c r="DD125" s="382">
        <v>2</v>
      </c>
      <c r="DE125" s="382">
        <v>2</v>
      </c>
      <c r="DF125" s="382"/>
      <c r="DG125" s="382"/>
      <c r="DH125" s="382"/>
      <c r="DI125" s="525"/>
      <c r="DJ125" s="526"/>
      <c r="DK125" s="382"/>
      <c r="DL125" s="382"/>
      <c r="DM125" s="382"/>
      <c r="DN125" s="382"/>
      <c r="DO125" s="382"/>
      <c r="DP125" s="382"/>
      <c r="DQ125" s="382"/>
      <c r="DR125" s="382"/>
      <c r="DS125" s="382"/>
      <c r="DT125" s="382"/>
      <c r="DU125" s="382"/>
      <c r="DV125" s="382"/>
      <c r="DW125" s="382"/>
      <c r="DX125" s="382"/>
      <c r="DY125" s="382"/>
      <c r="DZ125" s="382"/>
      <c r="EA125" s="382"/>
      <c r="EB125" s="580"/>
    </row>
    <row r="126" spans="1:132" s="517" customFormat="1" hidden="1" x14ac:dyDescent="0.3">
      <c r="A126" s="580"/>
      <c r="B126" s="580"/>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382"/>
      <c r="AB126" s="382"/>
      <c r="AC126" s="382"/>
      <c r="AD126" s="382"/>
      <c r="AE126" s="382"/>
      <c r="AF126" s="382"/>
      <c r="AG126" s="382"/>
      <c r="AH126" s="382"/>
      <c r="AI126" s="382"/>
      <c r="AJ126" s="382"/>
      <c r="AK126" s="382"/>
      <c r="AL126" s="522"/>
      <c r="AM126" s="441"/>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c r="BP126" s="382"/>
      <c r="BQ126" s="382"/>
      <c r="BR126" s="382"/>
      <c r="BS126" s="382"/>
      <c r="BT126" s="382"/>
      <c r="BU126" s="382"/>
      <c r="BV126" s="382"/>
      <c r="BW126" s="382"/>
      <c r="BX126" s="382"/>
      <c r="BY126" s="382"/>
      <c r="BZ126" s="382"/>
      <c r="CA126" s="382"/>
      <c r="CB126" s="382"/>
      <c r="CC126" s="382"/>
      <c r="CD126" s="382"/>
      <c r="CE126" s="382"/>
      <c r="CF126" s="382"/>
      <c r="CG126" s="382"/>
      <c r="CH126" s="382"/>
      <c r="CI126" s="382"/>
      <c r="CJ126" s="382"/>
      <c r="CK126" s="382"/>
      <c r="CL126" s="382"/>
      <c r="CM126" s="382"/>
      <c r="CN126" s="382"/>
      <c r="CO126" s="382"/>
      <c r="CP126" s="382"/>
      <c r="CQ126" s="382"/>
      <c r="CR126" s="382"/>
      <c r="CS126" s="382"/>
      <c r="CT126" s="382"/>
      <c r="CU126" s="527">
        <v>0.4</v>
      </c>
      <c r="CV126" s="382"/>
      <c r="CW126" s="382"/>
      <c r="CX126" s="382" t="s">
        <v>418</v>
      </c>
      <c r="CY126" s="382" t="s">
        <v>428</v>
      </c>
      <c r="CZ126" s="382">
        <v>0.6</v>
      </c>
      <c r="DA126" s="382">
        <v>0.6</v>
      </c>
      <c r="DB126" s="382">
        <v>0.6</v>
      </c>
      <c r="DC126" s="382"/>
      <c r="DD126" s="382">
        <v>3</v>
      </c>
      <c r="DE126" s="382">
        <v>3</v>
      </c>
      <c r="DF126" s="382"/>
      <c r="DG126" s="382"/>
      <c r="DH126" s="382"/>
      <c r="DI126" s="525"/>
      <c r="DJ126" s="526"/>
      <c r="DK126" s="382"/>
      <c r="DL126" s="382"/>
      <c r="DM126" s="382"/>
      <c r="DN126" s="382"/>
      <c r="DO126" s="382"/>
      <c r="DP126" s="382"/>
      <c r="DQ126" s="382"/>
      <c r="DR126" s="382"/>
      <c r="DS126" s="382"/>
      <c r="DT126" s="382"/>
      <c r="DU126" s="382"/>
      <c r="DV126" s="382"/>
      <c r="DW126" s="382"/>
      <c r="DX126" s="382"/>
      <c r="DY126" s="382"/>
      <c r="DZ126" s="382"/>
      <c r="EA126" s="382"/>
      <c r="EB126" s="580"/>
    </row>
    <row r="127" spans="1:132" s="517" customFormat="1" hidden="1" x14ac:dyDescent="0.3">
      <c r="A127" s="580"/>
      <c r="B127" s="580"/>
      <c r="C127" s="580"/>
      <c r="D127" s="580"/>
      <c r="E127" s="580"/>
      <c r="F127" s="580"/>
      <c r="G127" s="580"/>
      <c r="H127" s="580"/>
      <c r="I127" s="580"/>
      <c r="J127" s="580"/>
      <c r="K127" s="580"/>
      <c r="L127" s="580"/>
      <c r="M127" s="580"/>
      <c r="N127" s="580"/>
      <c r="O127" s="580"/>
      <c r="P127" s="580"/>
      <c r="Q127" s="580"/>
      <c r="R127" s="580"/>
      <c r="S127" s="580"/>
      <c r="T127" s="580"/>
      <c r="U127" s="580"/>
      <c r="V127" s="580"/>
      <c r="W127" s="580"/>
      <c r="X127" s="580"/>
      <c r="Y127" s="580"/>
      <c r="Z127" s="580"/>
      <c r="AA127" s="382"/>
      <c r="AB127" s="382"/>
      <c r="AC127" s="382"/>
      <c r="AD127" s="382"/>
      <c r="AE127" s="382"/>
      <c r="AF127" s="382"/>
      <c r="AG127" s="382"/>
      <c r="AH127" s="382"/>
      <c r="AI127" s="382"/>
      <c r="AJ127" s="382"/>
      <c r="AK127" s="382"/>
      <c r="AL127" s="522"/>
      <c r="AM127" s="441"/>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c r="BP127" s="382"/>
      <c r="BQ127" s="382"/>
      <c r="BR127" s="382"/>
      <c r="BS127" s="382"/>
      <c r="BT127" s="382"/>
      <c r="BU127" s="382"/>
      <c r="BV127" s="382"/>
      <c r="BW127" s="382"/>
      <c r="BX127" s="382"/>
      <c r="BY127" s="382"/>
      <c r="BZ127" s="382"/>
      <c r="CA127" s="382"/>
      <c r="CB127" s="382"/>
      <c r="CC127" s="382"/>
      <c r="CD127" s="382"/>
      <c r="CE127" s="382"/>
      <c r="CF127" s="382"/>
      <c r="CG127" s="382"/>
      <c r="CH127" s="382"/>
      <c r="CI127" s="382"/>
      <c r="CJ127" s="382"/>
      <c r="CK127" s="382"/>
      <c r="CL127" s="382"/>
      <c r="CM127" s="382"/>
      <c r="CN127" s="382"/>
      <c r="CO127" s="382"/>
      <c r="CP127" s="382"/>
      <c r="CQ127" s="382"/>
      <c r="CR127" s="382"/>
      <c r="CS127" s="382"/>
      <c r="CT127" s="382"/>
      <c r="CU127" s="527">
        <v>0.45</v>
      </c>
      <c r="CV127" s="382"/>
      <c r="CW127" s="382"/>
      <c r="CX127" s="382" t="s">
        <v>414</v>
      </c>
      <c r="CY127" s="382" t="s">
        <v>428</v>
      </c>
      <c r="CZ127" s="382">
        <v>0.3</v>
      </c>
      <c r="DA127" s="382">
        <v>0.3</v>
      </c>
      <c r="DB127" s="382">
        <v>0.2</v>
      </c>
      <c r="DC127" s="382"/>
      <c r="DD127" s="382">
        <v>4</v>
      </c>
      <c r="DE127" s="382">
        <v>4</v>
      </c>
      <c r="DF127" s="382"/>
      <c r="DG127" s="382"/>
      <c r="DH127" s="382"/>
      <c r="DI127" s="525"/>
      <c r="DJ127" s="526" t="s">
        <v>325</v>
      </c>
      <c r="DK127" s="382"/>
      <c r="DL127" s="382"/>
      <c r="DM127" s="382"/>
      <c r="DN127" s="382"/>
      <c r="DO127" s="382"/>
      <c r="DP127" s="382"/>
      <c r="DQ127" s="382"/>
      <c r="DR127" s="382"/>
      <c r="DS127" s="382"/>
      <c r="DT127" s="382"/>
      <c r="DU127" s="382"/>
      <c r="DV127" s="382"/>
      <c r="DW127" s="382"/>
      <c r="DX127" s="382"/>
      <c r="DY127" s="382"/>
      <c r="DZ127" s="382"/>
      <c r="EA127" s="382"/>
      <c r="EB127" s="580"/>
    </row>
    <row r="128" spans="1:132" s="517" customFormat="1" hidden="1" x14ac:dyDescent="0.3">
      <c r="A128" s="580"/>
      <c r="B128" s="580"/>
      <c r="C128" s="580"/>
      <c r="D128" s="580"/>
      <c r="E128" s="580"/>
      <c r="F128" s="580"/>
      <c r="G128" s="580"/>
      <c r="H128" s="580"/>
      <c r="I128" s="580"/>
      <c r="J128" s="580"/>
      <c r="K128" s="580"/>
      <c r="L128" s="580"/>
      <c r="M128" s="580"/>
      <c r="N128" s="580"/>
      <c r="O128" s="580"/>
      <c r="P128" s="580"/>
      <c r="Q128" s="580"/>
      <c r="R128" s="580"/>
      <c r="S128" s="580"/>
      <c r="T128" s="580"/>
      <c r="U128" s="580"/>
      <c r="V128" s="580"/>
      <c r="W128" s="580"/>
      <c r="X128" s="580"/>
      <c r="Y128" s="580"/>
      <c r="Z128" s="580"/>
      <c r="AA128" s="382"/>
      <c r="AB128" s="382"/>
      <c r="AC128" s="382"/>
      <c r="AD128" s="382"/>
      <c r="AE128" s="382"/>
      <c r="AF128" s="382"/>
      <c r="AG128" s="382"/>
      <c r="AH128" s="382"/>
      <c r="AI128" s="382"/>
      <c r="AJ128" s="382"/>
      <c r="AK128" s="382"/>
      <c r="AL128" s="522"/>
      <c r="AM128" s="441"/>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c r="BP128" s="382"/>
      <c r="BQ128" s="382"/>
      <c r="BR128" s="382"/>
      <c r="BS128" s="382"/>
      <c r="BT128" s="382"/>
      <c r="BU128" s="382"/>
      <c r="BV128" s="382"/>
      <c r="BW128" s="382"/>
      <c r="BX128" s="382"/>
      <c r="BY128" s="382"/>
      <c r="BZ128" s="382"/>
      <c r="CA128" s="382"/>
      <c r="CB128" s="382"/>
      <c r="CC128" s="382"/>
      <c r="CD128" s="382"/>
      <c r="CE128" s="382"/>
      <c r="CF128" s="382"/>
      <c r="CG128" s="382"/>
      <c r="CH128" s="382"/>
      <c r="CI128" s="382"/>
      <c r="CJ128" s="382"/>
      <c r="CK128" s="382"/>
      <c r="CL128" s="382"/>
      <c r="CM128" s="382"/>
      <c r="CN128" s="382"/>
      <c r="CO128" s="382"/>
      <c r="CP128" s="382"/>
      <c r="CQ128" s="382"/>
      <c r="CR128" s="382"/>
      <c r="CS128" s="382"/>
      <c r="CT128" s="382"/>
      <c r="CU128" s="527">
        <v>0.5</v>
      </c>
      <c r="CV128" s="382"/>
      <c r="CW128" s="382"/>
      <c r="CX128" s="382" t="s">
        <v>415</v>
      </c>
      <c r="CY128" s="382" t="s">
        <v>428</v>
      </c>
      <c r="CZ128" s="382">
        <v>0.45</v>
      </c>
      <c r="DA128" s="382">
        <v>0.45</v>
      </c>
      <c r="DB128" s="382">
        <v>0.3</v>
      </c>
      <c r="DC128" s="382"/>
      <c r="DD128" s="382">
        <v>5</v>
      </c>
      <c r="DE128" s="382">
        <v>5</v>
      </c>
      <c r="DF128" s="382"/>
      <c r="DG128" s="382"/>
      <c r="DH128" s="382"/>
      <c r="DI128" s="525"/>
      <c r="DJ128" s="526"/>
      <c r="DK128" s="382"/>
      <c r="DL128" s="382"/>
      <c r="DM128" s="382"/>
      <c r="DN128" s="382"/>
      <c r="DO128" s="382"/>
      <c r="DP128" s="382"/>
      <c r="DQ128" s="382"/>
      <c r="DR128" s="382"/>
      <c r="DS128" s="382"/>
      <c r="DT128" s="382"/>
      <c r="DU128" s="382"/>
      <c r="DV128" s="382"/>
      <c r="DW128" s="382"/>
      <c r="DX128" s="382"/>
      <c r="DY128" s="382"/>
      <c r="DZ128" s="382"/>
      <c r="EA128" s="382"/>
      <c r="EB128" s="580"/>
    </row>
    <row r="129" spans="1:132" s="517" customFormat="1" hidden="1" x14ac:dyDescent="0.3">
      <c r="A129" s="580"/>
      <c r="B129" s="580"/>
      <c r="C129" s="580"/>
      <c r="D129" s="580"/>
      <c r="E129" s="580"/>
      <c r="F129" s="580"/>
      <c r="G129" s="580"/>
      <c r="H129" s="580"/>
      <c r="I129" s="580"/>
      <c r="J129" s="580"/>
      <c r="K129" s="580"/>
      <c r="L129" s="580"/>
      <c r="M129" s="580"/>
      <c r="N129" s="580"/>
      <c r="O129" s="580"/>
      <c r="P129" s="580"/>
      <c r="Q129" s="580"/>
      <c r="R129" s="580"/>
      <c r="S129" s="580"/>
      <c r="T129" s="580"/>
      <c r="U129" s="580"/>
      <c r="V129" s="580"/>
      <c r="W129" s="580"/>
      <c r="X129" s="580"/>
      <c r="Y129" s="580"/>
      <c r="Z129" s="580"/>
      <c r="AA129" s="382"/>
      <c r="AB129" s="382"/>
      <c r="AC129" s="382"/>
      <c r="AD129" s="382"/>
      <c r="AE129" s="382"/>
      <c r="AF129" s="382"/>
      <c r="AG129" s="382"/>
      <c r="AH129" s="382"/>
      <c r="AI129" s="382"/>
      <c r="AJ129" s="382"/>
      <c r="AK129" s="382"/>
      <c r="AL129" s="522"/>
      <c r="AM129" s="441"/>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c r="BP129" s="382"/>
      <c r="BQ129" s="382"/>
      <c r="BR129" s="382"/>
      <c r="BS129" s="382"/>
      <c r="BT129" s="382"/>
      <c r="BU129" s="382"/>
      <c r="BV129" s="382"/>
      <c r="BW129" s="382"/>
      <c r="BX129" s="382"/>
      <c r="BY129" s="382"/>
      <c r="BZ129" s="382"/>
      <c r="CA129" s="382"/>
      <c r="CB129" s="382"/>
      <c r="CC129" s="382"/>
      <c r="CD129" s="382"/>
      <c r="CE129" s="382"/>
      <c r="CF129" s="382"/>
      <c r="CG129" s="382"/>
      <c r="CH129" s="382"/>
      <c r="CI129" s="382"/>
      <c r="CJ129" s="382"/>
      <c r="CK129" s="382"/>
      <c r="CL129" s="382"/>
      <c r="CM129" s="382"/>
      <c r="CN129" s="382"/>
      <c r="CO129" s="382"/>
      <c r="CP129" s="382"/>
      <c r="CQ129" s="382"/>
      <c r="CR129" s="382"/>
      <c r="CS129" s="382"/>
      <c r="CT129" s="382"/>
      <c r="CU129" s="527">
        <v>0.55000000000000004</v>
      </c>
      <c r="CV129" s="382"/>
      <c r="CW129" s="382"/>
      <c r="CX129" s="382"/>
      <c r="CY129" s="382"/>
      <c r="CZ129" s="382"/>
      <c r="DA129" s="382"/>
      <c r="DB129" s="382"/>
      <c r="DC129" s="382"/>
      <c r="DD129" s="382" t="s">
        <v>394</v>
      </c>
      <c r="DE129" s="382">
        <v>6</v>
      </c>
      <c r="DF129" s="382"/>
      <c r="DG129" s="382"/>
      <c r="DH129" s="382"/>
      <c r="DI129" s="525"/>
      <c r="DJ129" s="526"/>
      <c r="DK129" s="382"/>
      <c r="DL129" s="382"/>
      <c r="DM129" s="382"/>
      <c r="DN129" s="382"/>
      <c r="DO129" s="382"/>
      <c r="DP129" s="382"/>
      <c r="DQ129" s="382"/>
      <c r="DR129" s="382"/>
      <c r="DS129" s="382"/>
      <c r="DT129" s="382"/>
      <c r="DU129" s="382"/>
      <c r="DV129" s="382"/>
      <c r="DW129" s="382"/>
      <c r="DX129" s="382"/>
      <c r="DY129" s="382"/>
      <c r="DZ129" s="382"/>
      <c r="EA129" s="382"/>
      <c r="EB129" s="580"/>
    </row>
    <row r="130" spans="1:132" s="517" customFormat="1" hidden="1" x14ac:dyDescent="0.3">
      <c r="A130" s="580"/>
      <c r="B130" s="580"/>
      <c r="C130" s="580"/>
      <c r="D130" s="580"/>
      <c r="E130" s="580"/>
      <c r="F130" s="580"/>
      <c r="G130" s="580"/>
      <c r="H130" s="580"/>
      <c r="I130" s="580"/>
      <c r="J130" s="580"/>
      <c r="K130" s="580"/>
      <c r="L130" s="580"/>
      <c r="M130" s="580"/>
      <c r="N130" s="580"/>
      <c r="O130" s="580"/>
      <c r="P130" s="580"/>
      <c r="Q130" s="580"/>
      <c r="R130" s="580"/>
      <c r="S130" s="580"/>
      <c r="T130" s="580"/>
      <c r="U130" s="580"/>
      <c r="V130" s="580"/>
      <c r="W130" s="580"/>
      <c r="X130" s="580"/>
      <c r="Y130" s="580"/>
      <c r="Z130" s="580"/>
      <c r="AA130" s="382"/>
      <c r="AB130" s="382"/>
      <c r="AC130" s="382"/>
      <c r="AD130" s="382"/>
      <c r="AE130" s="382"/>
      <c r="AF130" s="382"/>
      <c r="AG130" s="382"/>
      <c r="AH130" s="382"/>
      <c r="AI130" s="382"/>
      <c r="AJ130" s="382"/>
      <c r="AK130" s="382"/>
      <c r="AL130" s="522"/>
      <c r="AM130" s="441"/>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c r="BP130" s="382"/>
      <c r="BQ130" s="382"/>
      <c r="BR130" s="382"/>
      <c r="BS130" s="382"/>
      <c r="BT130" s="382"/>
      <c r="BU130" s="382"/>
      <c r="BV130" s="382"/>
      <c r="BW130" s="382"/>
      <c r="BX130" s="382"/>
      <c r="BY130" s="382"/>
      <c r="BZ130" s="382"/>
      <c r="CA130" s="382"/>
      <c r="CB130" s="382"/>
      <c r="CC130" s="382"/>
      <c r="CD130" s="382"/>
      <c r="CE130" s="382"/>
      <c r="CF130" s="382"/>
      <c r="CG130" s="382"/>
      <c r="CH130" s="382"/>
      <c r="CI130" s="382"/>
      <c r="CJ130" s="382"/>
      <c r="CK130" s="382"/>
      <c r="CL130" s="382"/>
      <c r="CM130" s="382"/>
      <c r="CN130" s="382"/>
      <c r="CO130" s="382"/>
      <c r="CP130" s="382"/>
      <c r="CQ130" s="382"/>
      <c r="CR130" s="382"/>
      <c r="CS130" s="382"/>
      <c r="CT130" s="382"/>
      <c r="CU130" s="527">
        <v>0.6</v>
      </c>
      <c r="CV130" s="382"/>
      <c r="CW130" s="382"/>
      <c r="CX130" s="382"/>
      <c r="CY130" s="382"/>
      <c r="CZ130" s="382"/>
      <c r="DA130" s="382"/>
      <c r="DB130" s="382"/>
      <c r="DC130" s="382"/>
      <c r="DD130" s="382">
        <v>6</v>
      </c>
      <c r="DE130" s="382">
        <v>7</v>
      </c>
      <c r="DF130" s="382"/>
      <c r="DG130" s="382"/>
      <c r="DH130" s="382"/>
      <c r="DI130" s="525">
        <v>1</v>
      </c>
      <c r="DJ130" s="526" t="s">
        <v>318</v>
      </c>
      <c r="DK130" s="382"/>
      <c r="DL130" s="382"/>
      <c r="DM130" s="382"/>
      <c r="DN130" s="382"/>
      <c r="DO130" s="382"/>
      <c r="DP130" s="382"/>
      <c r="DQ130" s="382"/>
      <c r="DR130" s="382"/>
      <c r="DS130" s="382"/>
      <c r="DT130" s="382"/>
      <c r="DU130" s="382"/>
      <c r="DV130" s="382"/>
      <c r="DW130" s="382"/>
      <c r="DX130" s="382"/>
      <c r="DY130" s="382"/>
      <c r="DZ130" s="382"/>
      <c r="EA130" s="382"/>
      <c r="EB130" s="580"/>
    </row>
    <row r="131" spans="1:132" s="517" customFormat="1" hidden="1" x14ac:dyDescent="0.3">
      <c r="A131" s="580"/>
      <c r="B131" s="580"/>
      <c r="C131" s="580"/>
      <c r="D131" s="580"/>
      <c r="E131" s="580"/>
      <c r="F131" s="580"/>
      <c r="G131" s="580"/>
      <c r="H131" s="580"/>
      <c r="I131" s="580"/>
      <c r="J131" s="580"/>
      <c r="K131" s="580"/>
      <c r="L131" s="580"/>
      <c r="M131" s="580"/>
      <c r="N131" s="580"/>
      <c r="O131" s="580"/>
      <c r="P131" s="580"/>
      <c r="Q131" s="580"/>
      <c r="R131" s="580"/>
      <c r="S131" s="580"/>
      <c r="T131" s="580"/>
      <c r="U131" s="580"/>
      <c r="V131" s="580"/>
      <c r="W131" s="580"/>
      <c r="X131" s="580"/>
      <c r="Y131" s="580"/>
      <c r="Z131" s="580"/>
      <c r="AA131" s="382"/>
      <c r="AB131" s="382"/>
      <c r="AC131" s="382"/>
      <c r="AD131" s="382"/>
      <c r="AE131" s="382"/>
      <c r="AF131" s="382"/>
      <c r="AG131" s="382"/>
      <c r="AH131" s="382"/>
      <c r="AI131" s="382"/>
      <c r="AJ131" s="382"/>
      <c r="AK131" s="382"/>
      <c r="AL131" s="522"/>
      <c r="AM131" s="441"/>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c r="BP131" s="382"/>
      <c r="BQ131" s="382"/>
      <c r="BR131" s="382"/>
      <c r="BS131" s="382"/>
      <c r="BT131" s="382"/>
      <c r="BU131" s="382"/>
      <c r="BV131" s="382"/>
      <c r="BW131" s="382"/>
      <c r="BX131" s="382"/>
      <c r="BY131" s="382"/>
      <c r="BZ131" s="382"/>
      <c r="CA131" s="382"/>
      <c r="CB131" s="382"/>
      <c r="CC131" s="382"/>
      <c r="CD131" s="382"/>
      <c r="CE131" s="382"/>
      <c r="CF131" s="382"/>
      <c r="CG131" s="382"/>
      <c r="CH131" s="382"/>
      <c r="CI131" s="382"/>
      <c r="CJ131" s="382"/>
      <c r="CK131" s="382"/>
      <c r="CL131" s="382"/>
      <c r="CM131" s="382"/>
      <c r="CN131" s="382"/>
      <c r="CO131" s="382"/>
      <c r="CP131" s="382"/>
      <c r="CQ131" s="383"/>
      <c r="CR131" s="383"/>
      <c r="CS131" s="383"/>
      <c r="CT131" s="382"/>
      <c r="CU131" s="527">
        <v>0.65</v>
      </c>
      <c r="CV131" s="382"/>
      <c r="CW131" s="382"/>
      <c r="CX131" s="382"/>
      <c r="CY131" s="382"/>
      <c r="CZ131" s="382"/>
      <c r="DA131" s="382"/>
      <c r="DB131" s="382"/>
      <c r="DC131" s="382"/>
      <c r="DD131" s="382">
        <v>7</v>
      </c>
      <c r="DE131" s="382">
        <v>8</v>
      </c>
      <c r="DF131" s="382"/>
      <c r="DG131" s="382"/>
      <c r="DH131" s="382"/>
      <c r="DI131" s="525">
        <v>2</v>
      </c>
      <c r="DJ131" s="526" t="s">
        <v>323</v>
      </c>
      <c r="DK131" s="382"/>
      <c r="DL131" s="382"/>
      <c r="DM131" s="382"/>
      <c r="DN131" s="382"/>
      <c r="DO131" s="382"/>
      <c r="DP131" s="382"/>
      <c r="DQ131" s="382"/>
      <c r="DR131" s="382"/>
      <c r="DS131" s="382"/>
      <c r="DT131" s="382"/>
      <c r="DU131" s="382"/>
      <c r="DV131" s="382"/>
      <c r="DW131" s="382"/>
      <c r="DX131" s="382"/>
      <c r="DY131" s="382"/>
      <c r="DZ131" s="382"/>
      <c r="EA131" s="382"/>
      <c r="EB131" s="580"/>
    </row>
    <row r="132" spans="1:132" s="517" customFormat="1" hidden="1" x14ac:dyDescent="0.3">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52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c r="BP132" s="382"/>
      <c r="BQ132" s="382"/>
      <c r="BR132" s="382"/>
      <c r="BS132" s="382"/>
      <c r="BT132" s="382"/>
      <c r="BU132" s="382"/>
      <c r="BV132" s="382"/>
      <c r="BW132" s="382"/>
      <c r="BX132" s="382"/>
      <c r="BY132" s="382"/>
      <c r="BZ132" s="382"/>
      <c r="CA132" s="382"/>
      <c r="CB132" s="382"/>
      <c r="CC132" s="382"/>
      <c r="CD132" s="382"/>
      <c r="CE132" s="382"/>
      <c r="CF132" s="382"/>
      <c r="CG132" s="382"/>
      <c r="CH132" s="382"/>
      <c r="CI132" s="382"/>
      <c r="CJ132" s="382"/>
      <c r="CK132" s="382"/>
      <c r="CL132" s="382"/>
      <c r="CM132" s="382"/>
      <c r="CN132" s="382"/>
      <c r="CO132" s="382"/>
      <c r="CP132" s="382"/>
      <c r="CQ132" s="382"/>
      <c r="CR132" s="382"/>
      <c r="CS132" s="382"/>
      <c r="CT132" s="382"/>
      <c r="CU132" s="527">
        <v>0.7</v>
      </c>
      <c r="CV132" s="382"/>
      <c r="CW132" s="382"/>
      <c r="CX132" s="382"/>
      <c r="CY132" s="382"/>
      <c r="CZ132" s="382"/>
      <c r="DA132" s="382"/>
      <c r="DB132" s="382"/>
      <c r="DC132" s="382"/>
      <c r="DD132" s="382">
        <v>8</v>
      </c>
      <c r="DE132" s="382">
        <v>9</v>
      </c>
      <c r="DF132" s="382"/>
      <c r="DG132" s="382"/>
      <c r="DH132" s="382"/>
      <c r="DI132" s="525">
        <v>3</v>
      </c>
      <c r="DJ132" s="526" t="s">
        <v>326</v>
      </c>
      <c r="DK132" s="382"/>
      <c r="DL132" s="382"/>
      <c r="DM132" s="382"/>
      <c r="DN132" s="382"/>
      <c r="DO132" s="382"/>
      <c r="DP132" s="382"/>
      <c r="DQ132" s="382"/>
      <c r="DR132" s="382"/>
      <c r="DS132" s="382"/>
      <c r="DT132" s="382"/>
      <c r="DU132" s="382"/>
      <c r="DV132" s="382"/>
      <c r="DW132" s="382"/>
      <c r="DX132" s="382"/>
      <c r="DY132" s="382"/>
      <c r="DZ132" s="382"/>
      <c r="EA132" s="382"/>
      <c r="EB132" s="389"/>
    </row>
    <row r="133" spans="1:132" s="517" customFormat="1" hidden="1" x14ac:dyDescent="0.3">
      <c r="A133" s="580"/>
      <c r="B133" s="580"/>
      <c r="C133" s="580"/>
      <c r="D133" s="580"/>
      <c r="E133" s="581" t="s">
        <v>170</v>
      </c>
      <c r="F133" s="582" t="b">
        <f>COUNTA(TableInputs)=0</f>
        <v>1</v>
      </c>
      <c r="G133" s="580"/>
      <c r="H133" s="580"/>
      <c r="I133" s="580"/>
      <c r="J133" s="580"/>
      <c r="K133" s="580"/>
      <c r="L133" s="580"/>
      <c r="M133" s="580"/>
      <c r="N133" s="580"/>
      <c r="O133" s="580"/>
      <c r="P133" s="580"/>
      <c r="Q133" s="580"/>
      <c r="R133" s="583">
        <f>COUNTIF(R136:R154,"&gt;0")</f>
        <v>1</v>
      </c>
      <c r="S133" s="583">
        <f>COUNTIF(S136:S154,"&gt;0")</f>
        <v>0</v>
      </c>
      <c r="T133" s="580"/>
      <c r="U133" s="580"/>
      <c r="V133" s="584">
        <f>SUM(R133:S133)</f>
        <v>1</v>
      </c>
      <c r="W133" s="580"/>
      <c r="X133" s="580"/>
      <c r="Y133" s="580"/>
      <c r="Z133" s="580"/>
      <c r="AA133" s="383"/>
      <c r="AB133" s="383"/>
      <c r="AC133" s="383"/>
      <c r="AD133" s="383"/>
      <c r="AE133" s="383"/>
      <c r="AF133" s="383"/>
      <c r="AG133" s="383"/>
      <c r="AH133" s="382"/>
      <c r="AI133" s="382"/>
      <c r="AJ133" s="382"/>
      <c r="AK133" s="382"/>
      <c r="AL133" s="52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c r="BP133" s="382"/>
      <c r="BQ133" s="382"/>
      <c r="BR133" s="382"/>
      <c r="BS133" s="382"/>
      <c r="BT133" s="382"/>
      <c r="BU133" s="382"/>
      <c r="BV133" s="382"/>
      <c r="BW133" s="382"/>
      <c r="BX133" s="382"/>
      <c r="BY133" s="382"/>
      <c r="BZ133" s="382"/>
      <c r="CA133" s="382"/>
      <c r="CB133" s="382"/>
      <c r="CC133" s="382"/>
      <c r="CD133" s="382"/>
      <c r="CE133" s="382"/>
      <c r="CF133" s="382"/>
      <c r="CG133" s="382"/>
      <c r="CH133" s="382"/>
      <c r="CI133" s="382"/>
      <c r="CJ133" s="382"/>
      <c r="CK133" s="382"/>
      <c r="CL133" s="382"/>
      <c r="CM133" s="382"/>
      <c r="CN133" s="382"/>
      <c r="CO133" s="382"/>
      <c r="CP133" s="382"/>
      <c r="CQ133" s="382"/>
      <c r="CR133" s="382"/>
      <c r="CS133" s="382"/>
      <c r="CT133" s="382"/>
      <c r="CU133" s="527">
        <v>0.75</v>
      </c>
      <c r="CV133" s="382"/>
      <c r="CW133" s="382"/>
      <c r="CX133" s="382"/>
      <c r="CY133" s="382"/>
      <c r="CZ133" s="382"/>
      <c r="DA133" s="382"/>
      <c r="DB133" s="382"/>
      <c r="DC133" s="382"/>
      <c r="DD133" s="382"/>
      <c r="DE133" s="382"/>
      <c r="DF133" s="382"/>
      <c r="DG133" s="382"/>
      <c r="DH133" s="382"/>
      <c r="DI133" s="525">
        <v>4</v>
      </c>
      <c r="DJ133" s="526" t="s">
        <v>327</v>
      </c>
      <c r="DK133" s="382"/>
      <c r="DL133" s="382"/>
      <c r="DM133" s="382"/>
      <c r="DN133" s="382"/>
      <c r="DO133" s="382"/>
      <c r="DP133" s="382"/>
      <c r="DQ133" s="382"/>
      <c r="DR133" s="382"/>
      <c r="DS133" s="382"/>
      <c r="DT133" s="382"/>
      <c r="DU133" s="382"/>
      <c r="DV133" s="382"/>
      <c r="DW133" s="382"/>
      <c r="DX133" s="382"/>
      <c r="DY133" s="382"/>
      <c r="DZ133" s="382"/>
      <c r="EA133" s="382"/>
      <c r="EB133" s="580"/>
    </row>
    <row r="134" spans="1:132" s="517" customFormat="1" hidden="1" x14ac:dyDescent="0.3">
      <c r="A134" s="580"/>
      <c r="B134" s="585"/>
      <c r="C134" s="585"/>
      <c r="D134" s="585"/>
      <c r="E134" s="585"/>
      <c r="F134" s="586" t="s">
        <v>171</v>
      </c>
      <c r="G134" s="587"/>
      <c r="H134" s="588"/>
      <c r="I134" s="589"/>
      <c r="J134" s="589"/>
      <c r="K134" s="589"/>
      <c r="L134" s="589"/>
      <c r="M134" s="589"/>
      <c r="N134" s="589"/>
      <c r="O134" s="587"/>
      <c r="P134" s="587"/>
      <c r="Q134" s="587"/>
      <c r="R134" s="590" t="s">
        <v>172</v>
      </c>
      <c r="S134" s="586" t="s">
        <v>173</v>
      </c>
      <c r="T134" s="586"/>
      <c r="U134" s="587"/>
      <c r="V134" s="591" t="s">
        <v>174</v>
      </c>
      <c r="W134" s="587"/>
      <c r="X134" s="587"/>
      <c r="Y134" s="587"/>
      <c r="Z134" s="587"/>
      <c r="AA134" s="383"/>
      <c r="AB134" s="383"/>
      <c r="AC134" s="383"/>
      <c r="AD134" s="383"/>
      <c r="AE134" s="383"/>
      <c r="AF134" s="383"/>
      <c r="AG134" s="383"/>
      <c r="AH134" s="382"/>
      <c r="AI134" s="382"/>
      <c r="AJ134" s="382"/>
      <c r="AK134" s="382"/>
      <c r="AL134" s="52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2"/>
      <c r="CI134" s="382"/>
      <c r="CJ134" s="382"/>
      <c r="CK134" s="382"/>
      <c r="CL134" s="382"/>
      <c r="CM134" s="382"/>
      <c r="CN134" s="382"/>
      <c r="CO134" s="382"/>
      <c r="CP134" s="383"/>
      <c r="CQ134" s="382"/>
      <c r="CR134" s="382"/>
      <c r="CS134" s="382"/>
      <c r="CT134" s="528"/>
      <c r="CU134" s="527">
        <v>0.8</v>
      </c>
      <c r="CV134" s="382"/>
      <c r="CW134" s="382"/>
      <c r="CX134" s="382"/>
      <c r="CY134" s="382"/>
      <c r="CZ134" s="382"/>
      <c r="DA134" s="382"/>
      <c r="DB134" s="382"/>
      <c r="DC134" s="382"/>
      <c r="DD134" s="382">
        <v>1</v>
      </c>
      <c r="DE134" s="382"/>
      <c r="DF134" s="382"/>
      <c r="DG134" s="382"/>
      <c r="DH134" s="382"/>
      <c r="DI134" s="525">
        <v>5</v>
      </c>
      <c r="DJ134" s="526" t="s">
        <v>319</v>
      </c>
      <c r="DK134" s="382"/>
      <c r="DL134" s="382"/>
      <c r="DM134" s="382"/>
      <c r="DN134" s="382"/>
      <c r="DO134" s="382"/>
      <c r="DP134" s="382"/>
      <c r="DQ134" s="382"/>
      <c r="DR134" s="382"/>
      <c r="DS134" s="382"/>
      <c r="DT134" s="382"/>
      <c r="DU134" s="382"/>
      <c r="DV134" s="382"/>
      <c r="DW134" s="382"/>
      <c r="DX134" s="382"/>
      <c r="DY134" s="382"/>
      <c r="DZ134" s="382"/>
      <c r="EA134" s="382"/>
      <c r="EB134" s="580"/>
    </row>
    <row r="135" spans="1:132" s="517" customFormat="1" ht="21.5" hidden="1" x14ac:dyDescent="0.3">
      <c r="A135" s="580"/>
      <c r="B135" s="592" t="s">
        <v>175</v>
      </c>
      <c r="C135" s="592"/>
      <c r="D135" s="592"/>
      <c r="E135" s="592"/>
      <c r="F135" s="593" t="s">
        <v>176</v>
      </c>
      <c r="G135" s="594"/>
      <c r="H135" s="595" t="s">
        <v>177</v>
      </c>
      <c r="I135" s="587"/>
      <c r="J135" s="587"/>
      <c r="K135" s="587"/>
      <c r="L135" s="587"/>
      <c r="M135" s="587"/>
      <c r="N135" s="587"/>
      <c r="O135" s="587"/>
      <c r="P135" s="587"/>
      <c r="Q135" s="587"/>
      <c r="R135" s="587"/>
      <c r="S135" s="587"/>
      <c r="T135" s="587"/>
      <c r="U135" s="587"/>
      <c r="V135" s="587"/>
      <c r="W135" s="587"/>
      <c r="X135" s="587"/>
      <c r="Y135" s="587"/>
      <c r="Z135" s="587"/>
      <c r="AA135" s="383"/>
      <c r="AB135" s="383"/>
      <c r="AC135" s="383"/>
      <c r="AD135" s="383"/>
      <c r="AE135" s="383"/>
      <c r="AF135" s="383"/>
      <c r="AG135" s="383"/>
      <c r="AH135" s="382"/>
      <c r="AI135" s="382"/>
      <c r="AJ135" s="382"/>
      <c r="AK135" s="382"/>
      <c r="AL135" s="52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c r="BP135" s="382"/>
      <c r="BQ135" s="382"/>
      <c r="BR135" s="382"/>
      <c r="BS135" s="382"/>
      <c r="BT135" s="382"/>
      <c r="BU135" s="382"/>
      <c r="BV135" s="382"/>
      <c r="BW135" s="382"/>
      <c r="BX135" s="382"/>
      <c r="BY135" s="382"/>
      <c r="BZ135" s="382"/>
      <c r="CA135" s="382"/>
      <c r="CB135" s="382"/>
      <c r="CC135" s="382"/>
      <c r="CD135" s="382"/>
      <c r="CE135" s="382"/>
      <c r="CF135" s="382"/>
      <c r="CG135" s="382"/>
      <c r="CH135" s="382"/>
      <c r="CI135" s="382"/>
      <c r="CJ135" s="382"/>
      <c r="CK135" s="382"/>
      <c r="CL135" s="382"/>
      <c r="CM135" s="382"/>
      <c r="CN135" s="382"/>
      <c r="CO135" s="382"/>
      <c r="CP135" s="382"/>
      <c r="CQ135" s="382"/>
      <c r="CR135" s="382"/>
      <c r="CS135" s="382"/>
      <c r="CT135" s="528"/>
      <c r="CU135" s="527">
        <v>0.85</v>
      </c>
      <c r="CV135" s="382"/>
      <c r="CW135" s="382"/>
      <c r="CX135" s="382"/>
      <c r="CY135" s="382"/>
      <c r="CZ135" s="382"/>
      <c r="DA135" s="382"/>
      <c r="DB135" s="382"/>
      <c r="DC135" s="382"/>
      <c r="DD135" s="382">
        <v>2</v>
      </c>
      <c r="DE135" s="382"/>
      <c r="DF135" s="382"/>
      <c r="DG135" s="382"/>
      <c r="DH135" s="382"/>
      <c r="DI135" s="525">
        <v>6</v>
      </c>
      <c r="DJ135" s="526" t="s">
        <v>320</v>
      </c>
      <c r="DK135" s="382"/>
      <c r="DL135" s="382"/>
      <c r="DM135" s="382"/>
      <c r="DN135" s="382"/>
      <c r="DO135" s="382"/>
      <c r="DP135" s="382"/>
      <c r="DQ135" s="382"/>
      <c r="DR135" s="382"/>
      <c r="DS135" s="382"/>
      <c r="DT135" s="382"/>
      <c r="DU135" s="382"/>
      <c r="DV135" s="382"/>
      <c r="DW135" s="382"/>
      <c r="DX135" s="382"/>
      <c r="DY135" s="382"/>
      <c r="DZ135" s="382"/>
      <c r="EA135" s="382"/>
      <c r="EB135" s="580"/>
    </row>
    <row r="136" spans="1:132" s="517" customFormat="1" hidden="1" x14ac:dyDescent="0.3">
      <c r="A136" s="580"/>
      <c r="B136" s="585"/>
      <c r="C136" s="585"/>
      <c r="D136" s="585"/>
      <c r="E136" s="596" t="s">
        <v>178</v>
      </c>
      <c r="F136" s="597" t="b">
        <f>AND(NoGlazing=TRUE,ISBLANK(Building))</f>
        <v>1</v>
      </c>
      <c r="G136" s="598"/>
      <c r="H136" s="599" t="str">
        <f>IF(F136=TRUE,"1. Enter a description of the building and the part(s) of it covered by this assessment.","")</f>
        <v>1. Enter a description of the building and the part(s) of it covered by this assessment.</v>
      </c>
      <c r="I136" s="587"/>
      <c r="J136" s="587"/>
      <c r="K136" s="587"/>
      <c r="L136" s="587"/>
      <c r="M136" s="587"/>
      <c r="N136" s="587"/>
      <c r="O136" s="587"/>
      <c r="P136" s="587"/>
      <c r="Q136" s="587"/>
      <c r="R136" s="600">
        <f>LEN(H136)</f>
        <v>88</v>
      </c>
      <c r="S136" s="587"/>
      <c r="T136" s="587"/>
      <c r="U136" s="587"/>
      <c r="V136" s="587"/>
      <c r="W136" s="587"/>
      <c r="X136" s="587"/>
      <c r="Y136" s="587"/>
      <c r="Z136" s="587"/>
      <c r="AA136" s="383"/>
      <c r="AB136" s="383"/>
      <c r="AC136" s="383"/>
      <c r="AD136" s="383"/>
      <c r="AE136" s="383"/>
      <c r="AF136" s="383"/>
      <c r="AG136" s="383"/>
      <c r="AH136" s="382"/>
      <c r="AI136" s="382"/>
      <c r="AJ136" s="382"/>
      <c r="AK136" s="382"/>
      <c r="AL136" s="52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c r="BP136" s="382"/>
      <c r="BQ136" s="382"/>
      <c r="BR136" s="382"/>
      <c r="BS136" s="382"/>
      <c r="BT136" s="382"/>
      <c r="BU136" s="382"/>
      <c r="BV136" s="382"/>
      <c r="BW136" s="382"/>
      <c r="BX136" s="382"/>
      <c r="BY136" s="382"/>
      <c r="BZ136" s="382"/>
      <c r="CA136" s="382"/>
      <c r="CB136" s="382"/>
      <c r="CC136" s="382"/>
      <c r="CD136" s="382"/>
      <c r="CE136" s="382"/>
      <c r="CF136" s="382"/>
      <c r="CG136" s="382"/>
      <c r="CH136" s="382"/>
      <c r="CI136" s="382"/>
      <c r="CJ136" s="382"/>
      <c r="CK136" s="382"/>
      <c r="CL136" s="382"/>
      <c r="CM136" s="382"/>
      <c r="CN136" s="382"/>
      <c r="CO136" s="382"/>
      <c r="CP136" s="382"/>
      <c r="CQ136" s="382"/>
      <c r="CR136" s="382"/>
      <c r="CS136" s="382"/>
      <c r="CT136" s="528"/>
      <c r="CU136" s="527">
        <v>0.9</v>
      </c>
      <c r="CV136" s="382"/>
      <c r="CW136" s="382"/>
      <c r="CX136" s="382"/>
      <c r="CY136" s="382"/>
      <c r="CZ136" s="382"/>
      <c r="DA136" s="382"/>
      <c r="DB136" s="382"/>
      <c r="DC136" s="382"/>
      <c r="DD136" s="382">
        <v>3</v>
      </c>
      <c r="DE136" s="382"/>
      <c r="DF136" s="382"/>
      <c r="DG136" s="382"/>
      <c r="DH136" s="382"/>
      <c r="DI136" s="525">
        <v>7</v>
      </c>
      <c r="DJ136" s="526" t="s">
        <v>321</v>
      </c>
      <c r="DK136" s="382"/>
      <c r="DL136" s="382"/>
      <c r="DM136" s="382"/>
      <c r="DN136" s="382"/>
      <c r="DO136" s="382"/>
      <c r="DP136" s="382"/>
      <c r="DQ136" s="382"/>
      <c r="DR136" s="382"/>
      <c r="DS136" s="382"/>
      <c r="DT136" s="382"/>
      <c r="DU136" s="382"/>
      <c r="DV136" s="382"/>
      <c r="DW136" s="382"/>
      <c r="DX136" s="382"/>
      <c r="DY136" s="382"/>
      <c r="DZ136" s="382"/>
      <c r="EA136" s="382"/>
      <c r="EB136" s="580"/>
    </row>
    <row r="137" spans="1:132" s="517" customFormat="1" ht="13.5" hidden="1" thickBot="1" x14ac:dyDescent="0.35">
      <c r="A137" s="580"/>
      <c r="B137" s="585"/>
      <c r="C137" s="585"/>
      <c r="D137" s="585"/>
      <c r="E137" s="596" t="s">
        <v>179</v>
      </c>
      <c r="F137" s="601" t="b">
        <f>AND(NoGlazing=FALSE,ISBLANK(Building))</f>
        <v>0</v>
      </c>
      <c r="G137" s="602"/>
      <c r="H137" s="603" t="str">
        <f>IF(F137=TRUE,"No building identification","")</f>
        <v/>
      </c>
      <c r="I137" s="587"/>
      <c r="J137" s="587"/>
      <c r="K137" s="587"/>
      <c r="L137" s="587"/>
      <c r="M137" s="587"/>
      <c r="N137" s="587"/>
      <c r="O137" s="587"/>
      <c r="P137" s="587"/>
      <c r="Q137" s="587"/>
      <c r="R137" s="587"/>
      <c r="S137" s="600">
        <f>LEN(H137)</f>
        <v>0</v>
      </c>
      <c r="T137" s="587"/>
      <c r="U137" s="587"/>
      <c r="V137" s="587"/>
      <c r="W137" s="587"/>
      <c r="X137" s="587"/>
      <c r="Y137" s="587"/>
      <c r="Z137" s="587"/>
      <c r="AA137" s="383"/>
      <c r="AB137" s="383"/>
      <c r="AC137" s="383"/>
      <c r="AD137" s="383"/>
      <c r="AE137" s="383"/>
      <c r="AF137" s="383"/>
      <c r="AG137" s="383"/>
      <c r="AH137" s="382"/>
      <c r="AI137" s="382"/>
      <c r="AJ137" s="382"/>
      <c r="AK137" s="382"/>
      <c r="AL137" s="52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c r="BP137" s="382"/>
      <c r="BQ137" s="382"/>
      <c r="BR137" s="382"/>
      <c r="BS137" s="382"/>
      <c r="BT137" s="382"/>
      <c r="BU137" s="382"/>
      <c r="BV137" s="382"/>
      <c r="BW137" s="382"/>
      <c r="BX137" s="382"/>
      <c r="BY137" s="382"/>
      <c r="BZ137" s="382"/>
      <c r="CA137" s="382"/>
      <c r="CB137" s="382"/>
      <c r="CC137" s="382"/>
      <c r="CD137" s="382"/>
      <c r="CE137" s="382"/>
      <c r="CF137" s="382"/>
      <c r="CG137" s="382"/>
      <c r="CH137" s="382"/>
      <c r="CI137" s="382"/>
      <c r="CJ137" s="382"/>
      <c r="CK137" s="382"/>
      <c r="CL137" s="382"/>
      <c r="CM137" s="382"/>
      <c r="CN137" s="382"/>
      <c r="CO137" s="382"/>
      <c r="CP137" s="382"/>
      <c r="CQ137" s="382"/>
      <c r="CR137" s="382"/>
      <c r="CS137" s="382"/>
      <c r="CT137" s="528"/>
      <c r="CU137" s="528"/>
      <c r="CV137" s="382"/>
      <c r="CW137" s="382"/>
      <c r="CX137" s="382"/>
      <c r="CY137" s="382"/>
      <c r="CZ137" s="382"/>
      <c r="DA137" s="382"/>
      <c r="DB137" s="382"/>
      <c r="DC137" s="382"/>
      <c r="DD137" s="382">
        <v>4</v>
      </c>
      <c r="DE137" s="382"/>
      <c r="DF137" s="382"/>
      <c r="DG137" s="382"/>
      <c r="DH137" s="382"/>
      <c r="DI137" s="529">
        <v>8</v>
      </c>
      <c r="DJ137" s="530" t="s">
        <v>322</v>
      </c>
      <c r="DK137" s="382"/>
      <c r="DL137" s="382"/>
      <c r="DM137" s="382"/>
      <c r="DN137" s="382"/>
      <c r="DO137" s="382"/>
      <c r="DP137" s="382"/>
      <c r="DQ137" s="382"/>
      <c r="DR137" s="382"/>
      <c r="DS137" s="382"/>
      <c r="DT137" s="382"/>
      <c r="DU137" s="382"/>
      <c r="DV137" s="382"/>
      <c r="DW137" s="382"/>
      <c r="DX137" s="382"/>
      <c r="DY137" s="382"/>
      <c r="DZ137" s="382"/>
      <c r="EA137" s="382"/>
      <c r="EB137" s="580"/>
    </row>
    <row r="138" spans="1:132" s="517" customFormat="1" hidden="1" x14ac:dyDescent="0.3">
      <c r="A138" s="580"/>
      <c r="B138" s="585"/>
      <c r="C138" s="585"/>
      <c r="D138" s="585"/>
      <c r="E138" s="596" t="s">
        <v>180</v>
      </c>
      <c r="F138" s="604" t="b">
        <f>AND(NoGlazing=TRUE,ISBLANK(Building)=FALSE,ISBLANK(Zone))</f>
        <v>0</v>
      </c>
      <c r="G138" s="587"/>
      <c r="H138" s="605" t="str">
        <f>IF(F138=TRUE,"2. Enter zone","")</f>
        <v/>
      </c>
      <c r="I138" s="587"/>
      <c r="J138" s="587"/>
      <c r="K138" s="587"/>
      <c r="L138" s="587"/>
      <c r="M138" s="587"/>
      <c r="N138" s="587"/>
      <c r="O138" s="587"/>
      <c r="P138" s="587"/>
      <c r="Q138" s="587"/>
      <c r="R138" s="600">
        <f>LEN(H138)</f>
        <v>0</v>
      </c>
      <c r="S138" s="587"/>
      <c r="T138" s="587"/>
      <c r="U138" s="587"/>
      <c r="V138" s="587"/>
      <c r="W138" s="587"/>
      <c r="X138" s="587"/>
      <c r="Y138" s="587"/>
      <c r="Z138" s="587"/>
      <c r="AA138" s="383"/>
      <c r="AB138" s="383"/>
      <c r="AC138" s="383"/>
      <c r="AD138" s="383"/>
      <c r="AE138" s="383"/>
      <c r="AF138" s="383"/>
      <c r="AG138" s="383"/>
      <c r="AH138" s="382"/>
      <c r="AI138" s="382"/>
      <c r="AJ138" s="382"/>
      <c r="AK138" s="382"/>
      <c r="AL138" s="52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c r="BP138" s="382"/>
      <c r="BQ138" s="382"/>
      <c r="BR138" s="382"/>
      <c r="BS138" s="382"/>
      <c r="BT138" s="382"/>
      <c r="BU138" s="382"/>
      <c r="BV138" s="382"/>
      <c r="BW138" s="382"/>
      <c r="BX138" s="382"/>
      <c r="BY138" s="382"/>
      <c r="BZ138" s="382"/>
      <c r="CA138" s="382"/>
      <c r="CB138" s="382"/>
      <c r="CC138" s="382"/>
      <c r="CD138" s="382"/>
      <c r="CE138" s="382"/>
      <c r="CF138" s="382"/>
      <c r="CG138" s="382"/>
      <c r="CH138" s="382"/>
      <c r="CI138" s="382"/>
      <c r="CJ138" s="382"/>
      <c r="CK138" s="382"/>
      <c r="CL138" s="382"/>
      <c r="CM138" s="382"/>
      <c r="CN138" s="382"/>
      <c r="CO138" s="382"/>
      <c r="CP138" s="382"/>
      <c r="CQ138" s="382"/>
      <c r="CR138" s="382"/>
      <c r="CS138" s="382"/>
      <c r="CT138" s="382"/>
      <c r="CU138" s="382"/>
      <c r="CV138" s="382"/>
      <c r="CW138" s="382"/>
      <c r="CX138" s="382"/>
      <c r="CY138" s="382"/>
      <c r="CZ138" s="382"/>
      <c r="DA138" s="382"/>
      <c r="DB138" s="382"/>
      <c r="DC138" s="382"/>
      <c r="DD138" s="382">
        <v>5</v>
      </c>
      <c r="DE138" s="382"/>
      <c r="DF138" s="382"/>
      <c r="DG138" s="382"/>
      <c r="DH138" s="382"/>
      <c r="DI138" s="382"/>
      <c r="DJ138" s="382"/>
      <c r="DK138" s="382"/>
      <c r="DL138" s="382"/>
      <c r="DM138" s="382"/>
      <c r="DN138" s="382"/>
      <c r="DO138" s="382"/>
      <c r="DP138" s="382"/>
      <c r="DQ138" s="382"/>
      <c r="DR138" s="382"/>
      <c r="DS138" s="382"/>
      <c r="DT138" s="382"/>
      <c r="DU138" s="382"/>
      <c r="DV138" s="382"/>
      <c r="DW138" s="382"/>
      <c r="DX138" s="382"/>
      <c r="DY138" s="382"/>
      <c r="DZ138" s="382"/>
      <c r="EA138" s="382"/>
      <c r="EB138" s="580"/>
    </row>
    <row r="139" spans="1:132" s="517" customFormat="1" hidden="1" x14ac:dyDescent="0.3">
      <c r="A139" s="580"/>
      <c r="B139" s="585"/>
      <c r="C139" s="585"/>
      <c r="D139" s="585"/>
      <c r="E139" s="596" t="s">
        <v>181</v>
      </c>
      <c r="F139" s="604" t="b">
        <f>AND(NoGlazing=FALSE,ISBLANK(Zone))</f>
        <v>0</v>
      </c>
      <c r="G139" s="606"/>
      <c r="H139" s="603" t="str">
        <f>IF(F139=TRUE,"No zone","")</f>
        <v/>
      </c>
      <c r="I139" s="587"/>
      <c r="J139" s="587"/>
      <c r="K139" s="587"/>
      <c r="L139" s="587"/>
      <c r="M139" s="587"/>
      <c r="N139" s="587"/>
      <c r="O139" s="587"/>
      <c r="P139" s="587"/>
      <c r="Q139" s="587"/>
      <c r="R139" s="587"/>
      <c r="S139" s="600">
        <f>LEN(H139)</f>
        <v>0</v>
      </c>
      <c r="T139" s="587"/>
      <c r="U139" s="587"/>
      <c r="V139" s="587"/>
      <c r="W139" s="587"/>
      <c r="X139" s="587"/>
      <c r="Y139" s="587"/>
      <c r="Z139" s="587"/>
      <c r="AA139" s="383"/>
      <c r="AB139" s="383"/>
      <c r="AC139" s="383"/>
      <c r="AD139" s="383"/>
      <c r="AE139" s="383"/>
      <c r="AF139" s="383"/>
      <c r="AG139" s="383"/>
      <c r="AH139" s="382"/>
      <c r="AI139" s="382"/>
      <c r="AJ139" s="382"/>
      <c r="AK139" s="382"/>
      <c r="AL139" s="52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c r="BP139" s="382"/>
      <c r="BQ139" s="382"/>
      <c r="BR139" s="382"/>
      <c r="BS139" s="382"/>
      <c r="BT139" s="382"/>
      <c r="BU139" s="382"/>
      <c r="BV139" s="382"/>
      <c r="BW139" s="382"/>
      <c r="BX139" s="382"/>
      <c r="BY139" s="382"/>
      <c r="BZ139" s="382"/>
      <c r="CA139" s="382"/>
      <c r="CB139" s="382"/>
      <c r="CC139" s="382"/>
      <c r="CD139" s="382"/>
      <c r="CE139" s="382"/>
      <c r="CF139" s="382"/>
      <c r="CG139" s="382"/>
      <c r="CH139" s="382"/>
      <c r="CI139" s="382"/>
      <c r="CJ139" s="382"/>
      <c r="CK139" s="382"/>
      <c r="CL139" s="382"/>
      <c r="CM139" s="382"/>
      <c r="CN139" s="382"/>
      <c r="CO139" s="382"/>
      <c r="CP139" s="382"/>
      <c r="CQ139" s="382"/>
      <c r="CR139" s="382"/>
      <c r="CS139" s="382"/>
      <c r="CT139" s="382"/>
      <c r="CU139" s="382"/>
      <c r="CV139" s="382"/>
      <c r="CW139" s="382"/>
      <c r="CX139" s="382"/>
      <c r="CY139" s="382"/>
      <c r="CZ139" s="382"/>
      <c r="DA139" s="382"/>
      <c r="DB139" s="382"/>
      <c r="DC139" s="382"/>
      <c r="DD139" s="382">
        <v>6</v>
      </c>
      <c r="DE139" s="382"/>
      <c r="DF139" s="382"/>
      <c r="DG139" s="382"/>
      <c r="DH139" s="382"/>
      <c r="DI139" s="382"/>
      <c r="DJ139" s="382"/>
      <c r="DK139" s="382"/>
      <c r="DL139" s="382"/>
      <c r="DM139" s="382"/>
      <c r="DN139" s="382"/>
      <c r="DO139" s="382"/>
      <c r="DP139" s="382"/>
      <c r="DQ139" s="382"/>
      <c r="DR139" s="382"/>
      <c r="DS139" s="382"/>
      <c r="DT139" s="382"/>
      <c r="DU139" s="382"/>
      <c r="DV139" s="382"/>
      <c r="DW139" s="382"/>
      <c r="DX139" s="382"/>
      <c r="DY139" s="382"/>
      <c r="DZ139" s="382"/>
      <c r="EA139" s="382"/>
      <c r="EB139" s="580"/>
    </row>
    <row r="140" spans="1:132" s="517" customFormat="1" hidden="1" x14ac:dyDescent="0.3">
      <c r="A140" s="580"/>
      <c r="B140" s="585"/>
      <c r="C140" s="585"/>
      <c r="D140" s="585"/>
      <c r="E140" s="581"/>
      <c r="F140" s="607" t="s">
        <v>182</v>
      </c>
      <c r="G140" s="608"/>
      <c r="H140" s="606"/>
      <c r="I140" s="587"/>
      <c r="J140" s="587"/>
      <c r="K140" s="587"/>
      <c r="L140" s="587"/>
      <c r="M140" s="587"/>
      <c r="N140" s="587"/>
      <c r="O140" s="587"/>
      <c r="P140" s="587"/>
      <c r="Q140" s="587"/>
      <c r="R140" s="587"/>
      <c r="S140" s="587"/>
      <c r="T140" s="587"/>
      <c r="U140" s="587"/>
      <c r="V140" s="587"/>
      <c r="W140" s="587"/>
      <c r="X140" s="587"/>
      <c r="Y140" s="587"/>
      <c r="Z140" s="587"/>
      <c r="AA140" s="383"/>
      <c r="AB140" s="383"/>
      <c r="AC140" s="383"/>
      <c r="AD140" s="383"/>
      <c r="AE140" s="383"/>
      <c r="AF140" s="383"/>
      <c r="AG140" s="383"/>
      <c r="AH140" s="382"/>
      <c r="AI140" s="382"/>
      <c r="AJ140" s="382"/>
      <c r="AK140" s="382"/>
      <c r="AL140" s="52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c r="BP140" s="382"/>
      <c r="BQ140" s="382"/>
      <c r="BR140" s="382"/>
      <c r="BS140" s="382"/>
      <c r="BT140" s="382"/>
      <c r="BU140" s="382"/>
      <c r="BV140" s="382"/>
      <c r="BW140" s="382"/>
      <c r="BX140" s="382"/>
      <c r="BY140" s="382"/>
      <c r="BZ140" s="382"/>
      <c r="CA140" s="382"/>
      <c r="CB140" s="382"/>
      <c r="CC140" s="382"/>
      <c r="CD140" s="382"/>
      <c r="CE140" s="382"/>
      <c r="CF140" s="382"/>
      <c r="CG140" s="382"/>
      <c r="CH140" s="382"/>
      <c r="CI140" s="382"/>
      <c r="CJ140" s="382"/>
      <c r="CK140" s="382"/>
      <c r="CL140" s="382"/>
      <c r="CM140" s="382"/>
      <c r="CN140" s="382"/>
      <c r="CO140" s="382"/>
      <c r="CP140" s="382"/>
      <c r="CQ140" s="531" t="s">
        <v>535</v>
      </c>
      <c r="CR140" s="531" t="s">
        <v>536</v>
      </c>
      <c r="CS140" s="382"/>
      <c r="CT140" s="382"/>
      <c r="CU140" s="382"/>
      <c r="CV140" s="382"/>
      <c r="CW140" s="382"/>
      <c r="CX140" s="382"/>
      <c r="CY140" s="382"/>
      <c r="CZ140" s="382"/>
      <c r="DA140" s="382"/>
      <c r="DB140" s="382"/>
      <c r="DC140" s="382"/>
      <c r="DD140" s="382">
        <v>7</v>
      </c>
      <c r="DE140" s="382"/>
      <c r="DF140" s="382"/>
      <c r="DG140" s="382"/>
      <c r="DH140" s="382"/>
      <c r="DI140" s="382"/>
      <c r="DJ140" s="382"/>
      <c r="DK140" s="382"/>
      <c r="DL140" s="382"/>
      <c r="DM140" s="382"/>
      <c r="DN140" s="382"/>
      <c r="DO140" s="382"/>
      <c r="DP140" s="382"/>
      <c r="DQ140" s="382"/>
      <c r="DR140" s="382"/>
      <c r="DS140" s="382"/>
      <c r="DT140" s="382"/>
      <c r="DU140" s="382"/>
      <c r="DV140" s="382"/>
      <c r="DW140" s="382"/>
      <c r="DX140" s="382"/>
      <c r="DY140" s="382"/>
      <c r="DZ140" s="382"/>
      <c r="EA140" s="382"/>
      <c r="EB140" s="580"/>
    </row>
    <row r="141" spans="1:132" s="517" customFormat="1" hidden="1" x14ac:dyDescent="0.3">
      <c r="A141" s="580"/>
      <c r="B141" s="580"/>
      <c r="C141" s="580"/>
      <c r="D141" s="580"/>
      <c r="E141" s="596" t="s">
        <v>183</v>
      </c>
      <c r="F141" s="604" t="b">
        <f>AND(NoGlazing=TRUE,COUNTA(Building,Zone)=2,ISBLANK(Storey))</f>
        <v>0</v>
      </c>
      <c r="G141" s="608"/>
      <c r="H141" s="609" t="str">
        <f>IF(F141,"3. Enter storey","")</f>
        <v/>
      </c>
      <c r="I141" s="587"/>
      <c r="J141" s="587"/>
      <c r="K141" s="587"/>
      <c r="L141" s="587"/>
      <c r="M141" s="587"/>
      <c r="N141" s="587"/>
      <c r="O141" s="587"/>
      <c r="P141" s="587"/>
      <c r="Q141" s="587"/>
      <c r="R141" s="600">
        <f>LEN(H141)</f>
        <v>0</v>
      </c>
      <c r="S141" s="587"/>
      <c r="T141" s="587"/>
      <c r="U141" s="587"/>
      <c r="V141" s="587"/>
      <c r="W141" s="587"/>
      <c r="X141" s="587"/>
      <c r="Y141" s="587"/>
      <c r="Z141" s="587"/>
      <c r="AA141" s="383"/>
      <c r="AB141" s="383"/>
      <c r="AC141" s="383"/>
      <c r="AD141" s="383"/>
      <c r="AE141" s="383"/>
      <c r="AF141" s="383"/>
      <c r="AG141" s="383"/>
      <c r="AH141" s="382"/>
      <c r="AI141" s="382"/>
      <c r="AJ141" s="382"/>
      <c r="AK141" s="382"/>
      <c r="AL141" s="52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c r="BP141" s="382"/>
      <c r="BQ141" s="382"/>
      <c r="BR141" s="382"/>
      <c r="BS141" s="382"/>
      <c r="BT141" s="382"/>
      <c r="BU141" s="382"/>
      <c r="BV141" s="382"/>
      <c r="BW141" s="382"/>
      <c r="BX141" s="382"/>
      <c r="BY141" s="382"/>
      <c r="BZ141" s="382"/>
      <c r="CA141" s="382"/>
      <c r="CB141" s="382"/>
      <c r="CC141" s="382"/>
      <c r="CD141" s="382"/>
      <c r="CE141" s="382"/>
      <c r="CF141" s="382"/>
      <c r="CG141" s="382"/>
      <c r="CH141" s="382"/>
      <c r="CI141" s="382"/>
      <c r="CJ141" s="382"/>
      <c r="CK141" s="382"/>
      <c r="CL141" s="382"/>
      <c r="CM141" s="382"/>
      <c r="CN141" s="382"/>
      <c r="CO141" s="382"/>
      <c r="CP141" s="382"/>
      <c r="CQ141" s="532">
        <f>ROW(C20)</f>
        <v>20</v>
      </c>
      <c r="CR141" s="533">
        <f>CQ141+RowsPreferred</f>
        <v>40</v>
      </c>
      <c r="CS141" s="382"/>
      <c r="CT141" s="382"/>
      <c r="CU141" s="382"/>
      <c r="CV141" s="382"/>
      <c r="CW141" s="382"/>
      <c r="CX141" s="382"/>
      <c r="CY141" s="382"/>
      <c r="CZ141" s="382"/>
      <c r="DA141" s="382"/>
      <c r="DB141" s="382"/>
      <c r="DC141" s="382"/>
      <c r="DD141" s="382">
        <v>8</v>
      </c>
      <c r="DE141" s="382"/>
      <c r="DF141" s="382"/>
      <c r="DG141" s="382"/>
      <c r="DH141" s="382"/>
      <c r="DI141" s="382"/>
      <c r="DJ141" s="382"/>
      <c r="DK141" s="382"/>
      <c r="DL141" s="382"/>
      <c r="DM141" s="382"/>
      <c r="DN141" s="382"/>
      <c r="DO141" s="382"/>
      <c r="DP141" s="382"/>
      <c r="DQ141" s="382"/>
      <c r="DR141" s="382"/>
      <c r="DS141" s="382"/>
      <c r="DT141" s="382"/>
      <c r="DU141" s="382"/>
      <c r="DV141" s="382"/>
      <c r="DW141" s="382"/>
      <c r="DX141" s="382"/>
      <c r="DY141" s="382"/>
      <c r="DZ141" s="382"/>
      <c r="EA141" s="382"/>
      <c r="EB141" s="580"/>
    </row>
    <row r="142" spans="1:132" s="517" customFormat="1" hidden="1" x14ac:dyDescent="0.3">
      <c r="A142" s="580"/>
      <c r="B142" s="580"/>
      <c r="C142" s="580"/>
      <c r="D142" s="580"/>
      <c r="E142" s="596" t="s">
        <v>184</v>
      </c>
      <c r="F142" s="604" t="b">
        <f>AND(NoGlazing=FALSE,ISBLANK(Storey))</f>
        <v>0</v>
      </c>
      <c r="G142" s="608"/>
      <c r="H142" s="610" t="str">
        <f>IF(F142=TRUE,"No Storey ","")</f>
        <v/>
      </c>
      <c r="I142" s="587"/>
      <c r="J142" s="587"/>
      <c r="K142" s="587"/>
      <c r="L142" s="587"/>
      <c r="M142" s="587"/>
      <c r="N142" s="587"/>
      <c r="O142" s="587"/>
      <c r="P142" s="587"/>
      <c r="Q142" s="587"/>
      <c r="R142" s="587"/>
      <c r="S142" s="600">
        <f>LEN(H142)</f>
        <v>0</v>
      </c>
      <c r="T142" s="587"/>
      <c r="U142" s="587"/>
      <c r="V142" s="587"/>
      <c r="W142" s="587"/>
      <c r="X142" s="587"/>
      <c r="Y142" s="587"/>
      <c r="Z142" s="587"/>
      <c r="AA142" s="383"/>
      <c r="AB142" s="383"/>
      <c r="AC142" s="383"/>
      <c r="AD142" s="383"/>
      <c r="AE142" s="383"/>
      <c r="AF142" s="383"/>
      <c r="AG142" s="383"/>
      <c r="AH142" s="382"/>
      <c r="AI142" s="382"/>
      <c r="AJ142" s="382"/>
      <c r="AK142" s="382"/>
      <c r="AL142" s="52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c r="BP142" s="382"/>
      <c r="BQ142" s="382"/>
      <c r="BR142" s="382"/>
      <c r="BS142" s="382"/>
      <c r="BT142" s="382"/>
      <c r="BU142" s="382"/>
      <c r="BV142" s="382"/>
      <c r="BW142" s="382"/>
      <c r="BX142" s="382"/>
      <c r="BY142" s="382"/>
      <c r="BZ142" s="382"/>
      <c r="CA142" s="382"/>
      <c r="CB142" s="382"/>
      <c r="CC142" s="382"/>
      <c r="CD142" s="382"/>
      <c r="CE142" s="382"/>
      <c r="CF142" s="382"/>
      <c r="CG142" s="382"/>
      <c r="CH142" s="382"/>
      <c r="CI142" s="382"/>
      <c r="CJ142" s="382"/>
      <c r="CK142" s="382"/>
      <c r="CL142" s="382"/>
      <c r="CM142" s="382"/>
      <c r="CN142" s="382"/>
      <c r="CO142" s="382"/>
      <c r="CP142" s="382"/>
      <c r="CQ142" s="531" t="s">
        <v>537</v>
      </c>
      <c r="CR142" s="531" t="s">
        <v>538</v>
      </c>
      <c r="CS142" s="382"/>
      <c r="CT142" s="382"/>
      <c r="CU142" s="382"/>
      <c r="CV142" s="382"/>
      <c r="CW142" s="382"/>
      <c r="CX142" s="382"/>
      <c r="CY142" s="382"/>
      <c r="CZ142" s="382"/>
      <c r="DA142" s="382"/>
      <c r="DB142" s="382"/>
      <c r="DC142" s="382"/>
      <c r="DD142" s="382"/>
      <c r="DE142" s="382"/>
      <c r="DF142" s="382"/>
      <c r="DG142" s="382"/>
      <c r="DH142" s="382"/>
      <c r="DI142" s="382"/>
      <c r="DJ142" s="382"/>
      <c r="DK142" s="382"/>
      <c r="DL142" s="382"/>
      <c r="DM142" s="382"/>
      <c r="DN142" s="382"/>
      <c r="DO142" s="382"/>
      <c r="DP142" s="382"/>
      <c r="DQ142" s="382"/>
      <c r="DR142" s="382"/>
      <c r="DS142" s="382"/>
      <c r="DT142" s="382"/>
      <c r="DU142" s="382"/>
      <c r="DV142" s="382"/>
      <c r="DW142" s="382"/>
      <c r="DX142" s="382"/>
      <c r="DY142" s="382"/>
      <c r="DZ142" s="382"/>
      <c r="EA142" s="382"/>
      <c r="EB142" s="580"/>
    </row>
    <row r="143" spans="1:132" s="517" customFormat="1" hidden="1" x14ac:dyDescent="0.3">
      <c r="A143" s="580"/>
      <c r="B143" s="580"/>
      <c r="C143" s="580"/>
      <c r="D143" s="580"/>
      <c r="E143" s="596" t="s">
        <v>185</v>
      </c>
      <c r="F143" s="604" t="b">
        <f>COUNTA(Zone,Building,Storey)=3</f>
        <v>0</v>
      </c>
      <c r="G143" s="607" t="s">
        <v>186</v>
      </c>
      <c r="H143" s="606"/>
      <c r="I143" s="611" t="s">
        <v>187</v>
      </c>
      <c r="J143" s="611"/>
      <c r="K143" s="611"/>
      <c r="L143" s="611"/>
      <c r="M143" s="611"/>
      <c r="N143" s="611"/>
      <c r="O143" s="602"/>
      <c r="P143" s="612"/>
      <c r="Q143" s="602"/>
      <c r="R143" s="602"/>
      <c r="S143" s="613"/>
      <c r="T143" s="602"/>
      <c r="U143" s="602"/>
      <c r="V143" s="602"/>
      <c r="W143" s="602"/>
      <c r="X143" s="602"/>
      <c r="Y143" s="602"/>
      <c r="Z143" s="602"/>
      <c r="AA143" s="383"/>
      <c r="AB143" s="383"/>
      <c r="AC143" s="383"/>
      <c r="AD143" s="383"/>
      <c r="AE143" s="383"/>
      <c r="AF143" s="383"/>
      <c r="AG143" s="383"/>
      <c r="AH143" s="382"/>
      <c r="AI143" s="382"/>
      <c r="AJ143" s="382"/>
      <c r="AK143" s="382"/>
      <c r="AL143" s="52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c r="BP143" s="382"/>
      <c r="BQ143" s="382"/>
      <c r="BR143" s="382"/>
      <c r="BS143" s="382"/>
      <c r="BT143" s="382"/>
      <c r="BU143" s="382"/>
      <c r="BV143" s="382"/>
      <c r="BW143" s="382"/>
      <c r="BX143" s="382"/>
      <c r="BY143" s="382"/>
      <c r="BZ143" s="382"/>
      <c r="CA143" s="382"/>
      <c r="CB143" s="382"/>
      <c r="CC143" s="382"/>
      <c r="CD143" s="382"/>
      <c r="CE143" s="382"/>
      <c r="CF143" s="382"/>
      <c r="CG143" s="382"/>
      <c r="CH143" s="382"/>
      <c r="CI143" s="382"/>
      <c r="CJ143" s="382"/>
      <c r="CK143" s="382"/>
      <c r="CL143" s="382"/>
      <c r="CM143" s="382"/>
      <c r="CN143" s="382"/>
      <c r="CO143" s="382"/>
      <c r="CP143" s="382"/>
      <c r="CQ143" s="532">
        <f>COLUMN(J20)</f>
        <v>10</v>
      </c>
      <c r="CR143" s="532">
        <f>COLUMN(J20)</f>
        <v>10</v>
      </c>
      <c r="CS143" s="382"/>
      <c r="CT143" s="382"/>
      <c r="CU143" s="382"/>
      <c r="CV143" s="382"/>
      <c r="CW143" s="382"/>
      <c r="CX143" s="382"/>
      <c r="CY143" s="382"/>
      <c r="CZ143" s="382"/>
      <c r="DA143" s="382"/>
      <c r="DB143" s="382"/>
      <c r="DC143" s="382"/>
      <c r="DD143" s="382"/>
      <c r="DE143" s="382"/>
      <c r="DF143" s="382"/>
      <c r="DG143" s="382"/>
      <c r="DH143" s="382"/>
      <c r="DI143" s="382"/>
      <c r="DJ143" s="382"/>
      <c r="DK143" s="382"/>
      <c r="DL143" s="382"/>
      <c r="DM143" s="382"/>
      <c r="DN143" s="382"/>
      <c r="DO143" s="382"/>
      <c r="DP143" s="382"/>
      <c r="DQ143" s="382"/>
      <c r="DR143" s="382"/>
      <c r="DS143" s="382"/>
      <c r="DT143" s="382"/>
      <c r="DU143" s="382"/>
      <c r="DV143" s="382"/>
      <c r="DW143" s="382"/>
      <c r="DX143" s="382"/>
      <c r="DY143" s="382"/>
      <c r="DZ143" s="382"/>
      <c r="EA143" s="382"/>
      <c r="EB143" s="580"/>
    </row>
    <row r="144" spans="1:132" s="517" customFormat="1" hidden="1" x14ac:dyDescent="0.3">
      <c r="A144" s="580"/>
      <c r="B144" s="580"/>
      <c r="C144" s="580"/>
      <c r="D144" s="580"/>
      <c r="E144" s="580"/>
      <c r="F144" s="580"/>
      <c r="G144" s="580"/>
      <c r="H144" s="580"/>
      <c r="I144" s="580"/>
      <c r="J144" s="580"/>
      <c r="K144" s="580"/>
      <c r="L144" s="580"/>
      <c r="M144" s="580"/>
      <c r="N144" s="580"/>
      <c r="O144" s="580"/>
      <c r="P144" s="580"/>
      <c r="Q144" s="580"/>
      <c r="R144" s="580"/>
      <c r="S144" s="580"/>
      <c r="T144" s="580"/>
      <c r="U144" s="580"/>
      <c r="V144" s="580"/>
      <c r="W144" s="580"/>
      <c r="X144" s="580"/>
      <c r="Y144" s="580"/>
      <c r="Z144" s="580"/>
      <c r="AA144" s="382"/>
      <c r="AB144" s="382"/>
      <c r="AC144" s="382"/>
      <c r="AD144" s="382"/>
      <c r="AE144" s="382"/>
      <c r="AF144" s="382"/>
      <c r="AG144" s="382"/>
      <c r="AH144" s="382"/>
      <c r="AI144" s="382"/>
      <c r="AJ144" s="382"/>
      <c r="AK144" s="382"/>
      <c r="AL144" s="52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c r="BP144" s="382"/>
      <c r="BQ144" s="382"/>
      <c r="BR144" s="382"/>
      <c r="BS144" s="382"/>
      <c r="BT144" s="382"/>
      <c r="BU144" s="382"/>
      <c r="BV144" s="382"/>
      <c r="BW144" s="382"/>
      <c r="BX144" s="382"/>
      <c r="BY144" s="382"/>
      <c r="BZ144" s="382"/>
      <c r="CA144" s="382"/>
      <c r="CB144" s="382"/>
      <c r="CC144" s="382"/>
      <c r="CD144" s="382"/>
      <c r="CE144" s="382"/>
      <c r="CF144" s="382"/>
      <c r="CG144" s="382"/>
      <c r="CH144" s="382"/>
      <c r="CI144" s="382"/>
      <c r="CJ144" s="382"/>
      <c r="CK144" s="382"/>
      <c r="CL144" s="382"/>
      <c r="CM144" s="382"/>
      <c r="CN144" s="382"/>
      <c r="CO144" s="382"/>
      <c r="CP144" s="382"/>
      <c r="CQ144" s="531" t="s">
        <v>539</v>
      </c>
      <c r="CR144" s="531" t="s">
        <v>539</v>
      </c>
      <c r="CS144" s="382"/>
      <c r="CT144" s="382"/>
      <c r="CU144" s="382"/>
      <c r="CV144" s="382"/>
      <c r="CW144" s="382"/>
      <c r="CX144" s="382"/>
      <c r="CY144" s="382"/>
      <c r="CZ144" s="382"/>
      <c r="DA144" s="382"/>
      <c r="DB144" s="382"/>
      <c r="DC144" s="382"/>
      <c r="DD144" s="382"/>
      <c r="DE144" s="382"/>
      <c r="DF144" s="382"/>
      <c r="DG144" s="382"/>
      <c r="DH144" s="382"/>
      <c r="DI144" s="382"/>
      <c r="DJ144" s="382"/>
      <c r="DK144" s="382"/>
      <c r="DL144" s="382"/>
      <c r="DM144" s="382"/>
      <c r="DN144" s="382"/>
      <c r="DO144" s="382"/>
      <c r="DP144" s="382"/>
      <c r="DQ144" s="382"/>
      <c r="DR144" s="382"/>
      <c r="DS144" s="382"/>
      <c r="DT144" s="382"/>
      <c r="DU144" s="382"/>
      <c r="DV144" s="382"/>
      <c r="DW144" s="382"/>
      <c r="DX144" s="382"/>
      <c r="DY144" s="382"/>
      <c r="DZ144" s="382"/>
      <c r="EA144" s="382"/>
      <c r="EB144" s="580"/>
    </row>
    <row r="145" spans="1:132" s="517" customFormat="1" ht="26" hidden="1" x14ac:dyDescent="0.3">
      <c r="A145" s="580"/>
      <c r="B145" s="592" t="s">
        <v>188</v>
      </c>
      <c r="C145" s="592"/>
      <c r="D145" s="592"/>
      <c r="E145" s="592"/>
      <c r="F145" s="593" t="s">
        <v>55</v>
      </c>
      <c r="G145" s="614"/>
      <c r="H145" s="614"/>
      <c r="I145" s="615"/>
      <c r="J145" s="615"/>
      <c r="K145" s="615"/>
      <c r="L145" s="615"/>
      <c r="M145" s="615"/>
      <c r="N145" s="615"/>
      <c r="O145" s="615"/>
      <c r="P145" s="615"/>
      <c r="Q145" s="615"/>
      <c r="R145" s="615"/>
      <c r="S145" s="615"/>
      <c r="T145" s="615"/>
      <c r="U145" s="616"/>
      <c r="V145" s="615"/>
      <c r="W145" s="615"/>
      <c r="X145" s="615"/>
      <c r="Y145" s="615"/>
      <c r="Z145" s="615"/>
      <c r="AA145" s="382"/>
      <c r="AB145" s="382"/>
      <c r="AC145" s="382"/>
      <c r="AD145" s="382"/>
      <c r="AE145" s="382"/>
      <c r="AF145" s="382"/>
      <c r="AG145" s="382"/>
      <c r="AH145" s="382"/>
      <c r="AI145" s="382"/>
      <c r="AJ145" s="382"/>
      <c r="AK145" s="382"/>
      <c r="AL145" s="52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c r="BP145" s="382"/>
      <c r="BQ145" s="382"/>
      <c r="BR145" s="382"/>
      <c r="BS145" s="382"/>
      <c r="BT145" s="382"/>
      <c r="BU145" s="382"/>
      <c r="BV145" s="382"/>
      <c r="BW145" s="382"/>
      <c r="BX145" s="382"/>
      <c r="BY145" s="382"/>
      <c r="BZ145" s="382"/>
      <c r="CA145" s="382"/>
      <c r="CB145" s="382"/>
      <c r="CC145" s="382"/>
      <c r="CD145" s="382"/>
      <c r="CE145" s="382"/>
      <c r="CF145" s="382"/>
      <c r="CG145" s="382"/>
      <c r="CH145" s="382"/>
      <c r="CI145" s="382"/>
      <c r="CJ145" s="382"/>
      <c r="CK145" s="382"/>
      <c r="CL145" s="382"/>
      <c r="CM145" s="382"/>
      <c r="CN145" s="382"/>
      <c r="CO145" s="382"/>
      <c r="CP145" s="534" t="s">
        <v>400</v>
      </c>
      <c r="CQ145" s="532" t="str">
        <f>ADDRESS($CQ$141,10,1,1,)</f>
        <v>$J$20</v>
      </c>
      <c r="CR145" s="532" t="str">
        <f>ADDRESS($CR$141,10,1,1,)</f>
        <v>$J$40</v>
      </c>
      <c r="CS145" s="382"/>
      <c r="CT145" s="382"/>
      <c r="CU145" s="382"/>
      <c r="CV145" s="382"/>
      <c r="CW145" s="382"/>
      <c r="CX145" s="382"/>
      <c r="CY145" s="382"/>
      <c r="CZ145" s="382"/>
      <c r="DA145" s="382"/>
      <c r="DB145" s="382"/>
      <c r="DC145" s="382"/>
      <c r="DD145" s="382"/>
      <c r="DE145" s="382"/>
      <c r="DF145" s="382"/>
      <c r="DG145" s="382"/>
      <c r="DH145" s="382"/>
      <c r="DI145" s="382"/>
      <c r="DJ145" s="382"/>
      <c r="DK145" s="382"/>
      <c r="DL145" s="382"/>
      <c r="DM145" s="382"/>
      <c r="DN145" s="382"/>
      <c r="DO145" s="382"/>
      <c r="DP145" s="382"/>
      <c r="DQ145" s="382"/>
      <c r="DR145" s="382"/>
      <c r="DS145" s="382"/>
      <c r="DT145" s="382"/>
      <c r="DU145" s="382"/>
      <c r="DV145" s="382"/>
      <c r="DW145" s="382"/>
      <c r="DX145" s="382"/>
      <c r="DY145" s="382"/>
      <c r="DZ145" s="382"/>
      <c r="EA145" s="382"/>
      <c r="EB145" s="580"/>
    </row>
    <row r="146" spans="1:132" s="517" customFormat="1" ht="26" hidden="1" x14ac:dyDescent="0.3">
      <c r="A146" s="580"/>
      <c r="B146" s="580"/>
      <c r="C146" s="580"/>
      <c r="D146" s="580"/>
      <c r="E146" s="596" t="s">
        <v>189</v>
      </c>
      <c r="F146" s="604" t="b">
        <f>AND(NoGlazing=TRUE,COUNTA(Building,Zone,Storey)=3,AreaAll=0)</f>
        <v>0</v>
      </c>
      <c r="G146" s="617" t="s">
        <v>190</v>
      </c>
      <c r="H146" s="618" t="str">
        <f>IF(F146=TRUE,"4. Enter area(s) below for applicable floor type(s)","")</f>
        <v/>
      </c>
      <c r="I146" s="615"/>
      <c r="J146" s="615"/>
      <c r="K146" s="615"/>
      <c r="L146" s="615"/>
      <c r="M146" s="615"/>
      <c r="N146" s="615"/>
      <c r="O146" s="615"/>
      <c r="P146" s="615"/>
      <c r="Q146" s="615"/>
      <c r="R146" s="600">
        <f>LEN(H146)</f>
        <v>0</v>
      </c>
      <c r="S146" s="615"/>
      <c r="T146" s="615"/>
      <c r="U146" s="619"/>
      <c r="V146" s="615"/>
      <c r="W146" s="615"/>
      <c r="X146" s="615"/>
      <c r="Y146" s="615"/>
      <c r="Z146" s="615"/>
      <c r="AA146" s="383"/>
      <c r="AB146" s="383"/>
      <c r="AC146" s="383"/>
      <c r="AD146" s="383"/>
      <c r="AE146" s="383"/>
      <c r="AF146" s="383"/>
      <c r="AG146" s="383"/>
      <c r="AH146" s="382"/>
      <c r="AI146" s="382"/>
      <c r="AJ146" s="382"/>
      <c r="AK146" s="382"/>
      <c r="AL146" s="52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c r="BP146" s="382"/>
      <c r="BQ146" s="382"/>
      <c r="BR146" s="382"/>
      <c r="BS146" s="382"/>
      <c r="BT146" s="382"/>
      <c r="BU146" s="382"/>
      <c r="BV146" s="382"/>
      <c r="BW146" s="382"/>
      <c r="BX146" s="382"/>
      <c r="BY146" s="382"/>
      <c r="BZ146" s="382"/>
      <c r="CA146" s="382"/>
      <c r="CB146" s="382"/>
      <c r="CC146" s="382"/>
      <c r="CD146" s="382"/>
      <c r="CE146" s="382"/>
      <c r="CF146" s="382"/>
      <c r="CG146" s="382"/>
      <c r="CH146" s="382"/>
      <c r="CI146" s="382"/>
      <c r="CJ146" s="382"/>
      <c r="CK146" s="382"/>
      <c r="CL146" s="382"/>
      <c r="CM146" s="382"/>
      <c r="CN146" s="382"/>
      <c r="CO146" s="382"/>
      <c r="CP146" s="534" t="s">
        <v>513</v>
      </c>
      <c r="CQ146" s="532" t="str">
        <f>ADDRESS(CQ141,11,1,1,)</f>
        <v>$K$20</v>
      </c>
      <c r="CR146" s="532" t="str">
        <f>ADDRESS(CR141,11,1,1,)</f>
        <v>$K$40</v>
      </c>
      <c r="CS146" s="382"/>
      <c r="CT146" s="382"/>
      <c r="CU146" s="382"/>
      <c r="CV146" s="382"/>
      <c r="CW146" s="382"/>
      <c r="CX146" s="382"/>
      <c r="CY146" s="382"/>
      <c r="CZ146" s="382"/>
      <c r="DA146" s="382"/>
      <c r="DB146" s="382"/>
      <c r="DC146" s="382"/>
      <c r="DD146" s="382"/>
      <c r="DE146" s="382"/>
      <c r="DF146" s="382"/>
      <c r="DG146" s="382"/>
      <c r="DH146" s="382"/>
      <c r="DI146" s="382"/>
      <c r="DJ146" s="382"/>
      <c r="DK146" s="382"/>
      <c r="DL146" s="382"/>
      <c r="DM146" s="382"/>
      <c r="DN146" s="382"/>
      <c r="DO146" s="382"/>
      <c r="DP146" s="382"/>
      <c r="DQ146" s="382"/>
      <c r="DR146" s="382"/>
      <c r="DS146" s="382"/>
      <c r="DT146" s="382"/>
      <c r="DU146" s="382"/>
      <c r="DV146" s="382"/>
      <c r="DW146" s="382"/>
      <c r="DX146" s="382"/>
      <c r="DY146" s="382"/>
      <c r="DZ146" s="382"/>
      <c r="EA146" s="382"/>
      <c r="EB146" s="580"/>
    </row>
    <row r="147" spans="1:132" s="517" customFormat="1" ht="39" hidden="1" x14ac:dyDescent="0.3">
      <c r="A147" s="580"/>
      <c r="B147" s="580"/>
      <c r="C147" s="580"/>
      <c r="D147" s="580"/>
      <c r="E147" s="596" t="s">
        <v>191</v>
      </c>
      <c r="F147" s="601" t="b">
        <f>AND(NoGlazing=FALSE,AreaAll=0)</f>
        <v>0</v>
      </c>
      <c r="G147" s="608"/>
      <c r="H147" s="620" t="str">
        <f>IF(F147=TRUE,"No area(s)","")</f>
        <v/>
      </c>
      <c r="I147" s="615"/>
      <c r="J147" s="615"/>
      <c r="K147" s="615"/>
      <c r="L147" s="615"/>
      <c r="M147" s="615"/>
      <c r="N147" s="615"/>
      <c r="O147" s="615"/>
      <c r="P147" s="615"/>
      <c r="Q147" s="615"/>
      <c r="R147" s="587"/>
      <c r="S147" s="600">
        <f>LEN(H147)</f>
        <v>0</v>
      </c>
      <c r="T147" s="615"/>
      <c r="U147" s="616"/>
      <c r="V147" s="615"/>
      <c r="W147" s="615"/>
      <c r="X147" s="615"/>
      <c r="Y147" s="615"/>
      <c r="Z147" s="615"/>
      <c r="AA147" s="383"/>
      <c r="AB147" s="383"/>
      <c r="AC147" s="383"/>
      <c r="AD147" s="383"/>
      <c r="AE147" s="383"/>
      <c r="AF147" s="383"/>
      <c r="AG147" s="383"/>
      <c r="AH147" s="383"/>
      <c r="AI147" s="383"/>
      <c r="AJ147" s="382"/>
      <c r="AK147" s="382"/>
      <c r="AL147" s="52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c r="BP147" s="382"/>
      <c r="BQ147" s="382"/>
      <c r="BR147" s="382"/>
      <c r="BS147" s="382"/>
      <c r="BT147" s="382"/>
      <c r="BU147" s="382"/>
      <c r="BV147" s="382"/>
      <c r="BW147" s="382"/>
      <c r="BX147" s="382"/>
      <c r="BY147" s="382"/>
      <c r="BZ147" s="382"/>
      <c r="CA147" s="382"/>
      <c r="CB147" s="382"/>
      <c r="CC147" s="382"/>
      <c r="CD147" s="382"/>
      <c r="CE147" s="382"/>
      <c r="CF147" s="382"/>
      <c r="CG147" s="382"/>
      <c r="CH147" s="382"/>
      <c r="CI147" s="382"/>
      <c r="CJ147" s="382"/>
      <c r="CK147" s="382"/>
      <c r="CL147" s="382"/>
      <c r="CM147" s="382"/>
      <c r="CN147" s="382"/>
      <c r="CO147" s="382"/>
      <c r="CP147" s="534" t="s">
        <v>514</v>
      </c>
      <c r="CQ147" s="532" t="str">
        <f>ADDRESS($CQ$141,12,1,1,)</f>
        <v>$L$20</v>
      </c>
      <c r="CR147" s="532" t="str">
        <f>ADDRESS($CR$141,12,1,1,)</f>
        <v>$L$40</v>
      </c>
      <c r="CS147" s="382"/>
      <c r="CT147" s="382"/>
      <c r="CU147" s="382"/>
      <c r="CV147" s="382"/>
      <c r="CW147" s="382"/>
      <c r="CX147" s="382"/>
      <c r="CY147" s="382"/>
      <c r="CZ147" s="382"/>
      <c r="DA147" s="382"/>
      <c r="DB147" s="382"/>
      <c r="DC147" s="382"/>
      <c r="DD147" s="382"/>
      <c r="DE147" s="382"/>
      <c r="DF147" s="382"/>
      <c r="DG147" s="382"/>
      <c r="DH147" s="382"/>
      <c r="DI147" s="382"/>
      <c r="DJ147" s="382"/>
      <c r="DK147" s="382"/>
      <c r="DL147" s="382"/>
      <c r="DM147" s="382"/>
      <c r="DN147" s="382"/>
      <c r="DO147" s="382"/>
      <c r="DP147" s="382"/>
      <c r="DQ147" s="382"/>
      <c r="DR147" s="382"/>
      <c r="DS147" s="382"/>
      <c r="DT147" s="382"/>
      <c r="DU147" s="382"/>
      <c r="DV147" s="382"/>
      <c r="DW147" s="382"/>
      <c r="DX147" s="382"/>
      <c r="DY147" s="382"/>
      <c r="DZ147" s="382"/>
      <c r="EA147" s="382"/>
      <c r="EB147" s="580"/>
    </row>
    <row r="148" spans="1:132" s="517" customFormat="1" hidden="1" x14ac:dyDescent="0.3">
      <c r="A148" s="580"/>
      <c r="B148" s="580"/>
      <c r="C148" s="580"/>
      <c r="D148" s="580"/>
      <c r="E148" s="596" t="s">
        <v>192</v>
      </c>
      <c r="F148" s="604" t="b">
        <f>AND(NoGlazing=TRUE,First3Inputs=TRUE,AreaAll&gt;0,ISBLANK(WallConcession))</f>
        <v>0</v>
      </c>
      <c r="G148" s="608"/>
      <c r="H148" s="621" t="str">
        <f>IF(F148=TRUE,"INITIAL WALL INSULATION OPTION CHOICE NEEDED","")</f>
        <v/>
      </c>
      <c r="I148" s="615"/>
      <c r="J148" s="615"/>
      <c r="K148" s="615"/>
      <c r="L148" s="615"/>
      <c r="M148" s="615"/>
      <c r="N148" s="615"/>
      <c r="O148" s="615"/>
      <c r="P148" s="615"/>
      <c r="Q148" s="615"/>
      <c r="R148" s="600">
        <f t="shared" ref="R148:R149" si="285">LEN(H148)</f>
        <v>0</v>
      </c>
      <c r="S148" s="615"/>
      <c r="T148" s="615"/>
      <c r="U148" s="619"/>
      <c r="V148" s="615"/>
      <c r="W148" s="615"/>
      <c r="X148" s="615"/>
      <c r="Y148" s="615"/>
      <c r="Z148" s="615"/>
      <c r="AA148" s="383"/>
      <c r="AB148" s="535"/>
      <c r="AC148" s="382"/>
      <c r="AD148" s="536"/>
      <c r="AE148" s="536"/>
      <c r="AF148" s="536"/>
      <c r="AG148" s="383"/>
      <c r="AH148" s="382"/>
      <c r="AI148" s="382"/>
      <c r="AJ148" s="382"/>
      <c r="AK148" s="382"/>
      <c r="AL148" s="52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c r="BP148" s="382"/>
      <c r="BQ148" s="382"/>
      <c r="BR148" s="382"/>
      <c r="BS148" s="382"/>
      <c r="BT148" s="382"/>
      <c r="BU148" s="382"/>
      <c r="BV148" s="382"/>
      <c r="BW148" s="382"/>
      <c r="BX148" s="382"/>
      <c r="BY148" s="382"/>
      <c r="BZ148" s="382"/>
      <c r="CA148" s="382"/>
      <c r="CB148" s="382"/>
      <c r="CC148" s="382"/>
      <c r="CD148" s="382"/>
      <c r="CE148" s="382"/>
      <c r="CF148" s="382"/>
      <c r="CG148" s="382"/>
      <c r="CH148" s="382"/>
      <c r="CI148" s="382"/>
      <c r="CJ148" s="382"/>
      <c r="CK148" s="382"/>
      <c r="CL148" s="382"/>
      <c r="CM148" s="382"/>
      <c r="CN148" s="382"/>
      <c r="CO148" s="382"/>
      <c r="CP148" s="534" t="s">
        <v>398</v>
      </c>
      <c r="CQ148" s="532" t="str">
        <f>ADDRESS($CQ$141,13,1,1,)</f>
        <v>$M$20</v>
      </c>
      <c r="CR148" s="532" t="str">
        <f>ADDRESS($CR$141,13,1,1,)</f>
        <v>$M$40</v>
      </c>
      <c r="CS148" s="382"/>
      <c r="CT148" s="382"/>
      <c r="CU148" s="382"/>
      <c r="CV148" s="382"/>
      <c r="CW148" s="382"/>
      <c r="CX148" s="382"/>
      <c r="CY148" s="382"/>
      <c r="CZ148" s="382"/>
      <c r="DA148" s="382"/>
      <c r="DB148" s="382"/>
      <c r="DC148" s="382"/>
      <c r="DD148" s="382"/>
      <c r="DE148" s="382"/>
      <c r="DF148" s="382"/>
      <c r="DG148" s="382"/>
      <c r="DH148" s="382"/>
      <c r="DI148" s="382"/>
      <c r="DJ148" s="382"/>
      <c r="DK148" s="382"/>
      <c r="DL148" s="382"/>
      <c r="DM148" s="382"/>
      <c r="DN148" s="382"/>
      <c r="DO148" s="382"/>
      <c r="DP148" s="382"/>
      <c r="DQ148" s="382"/>
      <c r="DR148" s="382"/>
      <c r="DS148" s="382"/>
      <c r="DT148" s="382"/>
      <c r="DU148" s="382"/>
      <c r="DV148" s="382"/>
      <c r="DW148" s="382"/>
      <c r="DX148" s="382"/>
      <c r="DY148" s="382"/>
      <c r="DZ148" s="382"/>
      <c r="EA148" s="382"/>
      <c r="EB148" s="580"/>
    </row>
    <row r="149" spans="1:132" s="517" customFormat="1" hidden="1" x14ac:dyDescent="0.3">
      <c r="A149" s="580"/>
      <c r="B149" s="580"/>
      <c r="C149" s="580"/>
      <c r="D149" s="580"/>
      <c r="E149" s="596" t="s">
        <v>193</v>
      </c>
      <c r="F149" s="601" t="b">
        <f>AND(NoGlazing=TRUE,First3Inputs=TRUE,AreaAll&gt;0,WallConcession&gt;0,ISBLANK(AirMovement))</f>
        <v>0</v>
      </c>
      <c r="G149" s="622" t="s">
        <v>194</v>
      </c>
      <c r="H149" s="621" t="str">
        <f>IF(F149=TRUE,"6. Enter Air Movement","")</f>
        <v/>
      </c>
      <c r="I149" s="615"/>
      <c r="J149" s="615"/>
      <c r="K149" s="615"/>
      <c r="L149" s="615"/>
      <c r="M149" s="615"/>
      <c r="N149" s="615"/>
      <c r="O149" s="615"/>
      <c r="P149" s="615"/>
      <c r="Q149" s="615"/>
      <c r="R149" s="600">
        <f t="shared" si="285"/>
        <v>0</v>
      </c>
      <c r="S149" s="615"/>
      <c r="T149" s="615"/>
      <c r="U149" s="623"/>
      <c r="V149" s="615"/>
      <c r="W149" s="615"/>
      <c r="X149" s="615"/>
      <c r="Y149" s="615"/>
      <c r="Z149" s="615"/>
      <c r="AA149" s="383"/>
      <c r="AB149" s="383"/>
      <c r="AC149" s="383"/>
      <c r="AD149" s="383"/>
      <c r="AE149" s="383"/>
      <c r="AF149" s="383"/>
      <c r="AG149" s="383"/>
      <c r="AH149" s="382"/>
      <c r="AI149" s="382"/>
      <c r="AJ149" s="382"/>
      <c r="AK149" s="382"/>
      <c r="AL149" s="52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c r="BP149" s="382"/>
      <c r="BQ149" s="382"/>
      <c r="BR149" s="382"/>
      <c r="BS149" s="382"/>
      <c r="BT149" s="382"/>
      <c r="BU149" s="382"/>
      <c r="BV149" s="382"/>
      <c r="BW149" s="382"/>
      <c r="BX149" s="382"/>
      <c r="BY149" s="382"/>
      <c r="BZ149" s="382"/>
      <c r="CA149" s="382"/>
      <c r="CB149" s="382"/>
      <c r="CC149" s="382"/>
      <c r="CD149" s="382"/>
      <c r="CE149" s="382"/>
      <c r="CF149" s="382"/>
      <c r="CG149" s="382"/>
      <c r="CH149" s="382"/>
      <c r="CI149" s="382"/>
      <c r="CJ149" s="382"/>
      <c r="CK149" s="382"/>
      <c r="CL149" s="382"/>
      <c r="CM149" s="382"/>
      <c r="CN149" s="382"/>
      <c r="CO149" s="382"/>
      <c r="CP149" s="534" t="s">
        <v>412</v>
      </c>
      <c r="CQ149" s="532" t="str">
        <f>ADDRESS($CQ$141,14,1,1,)</f>
        <v>$N$20</v>
      </c>
      <c r="CR149" s="532" t="str">
        <f>ADDRESS($CR$141,14,1,1,)</f>
        <v>$N$40</v>
      </c>
      <c r="CS149" s="382"/>
      <c r="CT149" s="382"/>
      <c r="CU149" s="382"/>
      <c r="CV149" s="382"/>
      <c r="CW149" s="382"/>
      <c r="CX149" s="382"/>
      <c r="CY149" s="382"/>
      <c r="CZ149" s="382"/>
      <c r="DA149" s="382"/>
      <c r="DB149" s="382"/>
      <c r="DC149" s="382"/>
      <c r="DD149" s="382"/>
      <c r="DE149" s="382"/>
      <c r="DF149" s="382"/>
      <c r="DG149" s="382"/>
      <c r="DH149" s="382"/>
      <c r="DI149" s="382"/>
      <c r="DJ149" s="382"/>
      <c r="DK149" s="382"/>
      <c r="DL149" s="382"/>
      <c r="DM149" s="382"/>
      <c r="DN149" s="382"/>
      <c r="DO149" s="382"/>
      <c r="DP149" s="382"/>
      <c r="DQ149" s="382"/>
      <c r="DR149" s="382"/>
      <c r="DS149" s="382"/>
      <c r="DT149" s="382"/>
      <c r="DU149" s="382"/>
      <c r="DV149" s="382"/>
      <c r="DW149" s="382"/>
      <c r="DX149" s="382"/>
      <c r="DY149" s="382"/>
      <c r="DZ149" s="382"/>
      <c r="EA149" s="382"/>
      <c r="EB149" s="580"/>
    </row>
    <row r="150" spans="1:132" s="517" customFormat="1" hidden="1" x14ac:dyDescent="0.3">
      <c r="A150" s="580"/>
      <c r="B150" s="580"/>
      <c r="C150" s="580"/>
      <c r="D150" s="580"/>
      <c r="E150" s="596" t="s">
        <v>195</v>
      </c>
      <c r="F150" s="601" t="b">
        <f>AND(NoGlazing=FALSE,ISBLANK(AirMovement))</f>
        <v>0</v>
      </c>
      <c r="G150" s="622" t="s">
        <v>196</v>
      </c>
      <c r="H150" s="620" t="str">
        <f>IF(F150=TRUE,"No Air Movement","")</f>
        <v/>
      </c>
      <c r="I150" s="615"/>
      <c r="J150" s="615"/>
      <c r="K150" s="615"/>
      <c r="L150" s="615"/>
      <c r="M150" s="615"/>
      <c r="N150" s="615"/>
      <c r="O150" s="615"/>
      <c r="P150" s="615"/>
      <c r="Q150" s="615"/>
      <c r="R150" s="587"/>
      <c r="S150" s="600">
        <f>LEN(H150)</f>
        <v>0</v>
      </c>
      <c r="T150" s="615"/>
      <c r="U150" s="616"/>
      <c r="V150" s="615"/>
      <c r="W150" s="615"/>
      <c r="X150" s="615"/>
      <c r="Y150" s="615"/>
      <c r="Z150" s="615"/>
      <c r="AA150" s="383"/>
      <c r="AB150" s="383"/>
      <c r="AC150" s="383"/>
      <c r="AD150" s="383"/>
      <c r="AE150" s="383"/>
      <c r="AF150" s="383"/>
      <c r="AG150" s="383"/>
      <c r="AH150" s="383"/>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c r="BP150" s="382"/>
      <c r="BQ150" s="382"/>
      <c r="BR150" s="382"/>
      <c r="BS150" s="382"/>
      <c r="BT150" s="382"/>
      <c r="BU150" s="382"/>
      <c r="BV150" s="382"/>
      <c r="BW150" s="382"/>
      <c r="BX150" s="382"/>
      <c r="BY150" s="382"/>
      <c r="BZ150" s="382"/>
      <c r="CA150" s="382"/>
      <c r="CB150" s="382"/>
      <c r="CC150" s="382"/>
      <c r="CD150" s="382"/>
      <c r="CE150" s="382"/>
      <c r="CF150" s="382"/>
      <c r="CG150" s="382"/>
      <c r="CH150" s="382"/>
      <c r="CI150" s="382"/>
      <c r="CJ150" s="382"/>
      <c r="CK150" s="382"/>
      <c r="CL150" s="382"/>
      <c r="CM150" s="382"/>
      <c r="CN150" s="382"/>
      <c r="CO150" s="382"/>
      <c r="CP150" s="382"/>
      <c r="CQ150" s="382"/>
      <c r="CR150" s="382"/>
      <c r="CS150" s="382"/>
      <c r="CT150" s="382"/>
      <c r="CU150" s="382"/>
      <c r="CV150" s="382"/>
      <c r="CW150" s="382"/>
      <c r="CX150" s="382"/>
      <c r="CY150" s="382"/>
      <c r="CZ150" s="382"/>
      <c r="DA150" s="382"/>
      <c r="DB150" s="382"/>
      <c r="DC150" s="382"/>
      <c r="DD150" s="382"/>
      <c r="DE150" s="382"/>
      <c r="DF150" s="382"/>
      <c r="DG150" s="382"/>
      <c r="DH150" s="382"/>
      <c r="DI150" s="382"/>
      <c r="DJ150" s="382"/>
      <c r="DK150" s="382"/>
      <c r="DL150" s="382"/>
      <c r="DM150" s="382"/>
      <c r="DN150" s="382"/>
      <c r="DO150" s="382"/>
      <c r="DP150" s="382"/>
      <c r="DQ150" s="382"/>
      <c r="DR150" s="382"/>
      <c r="DS150" s="382"/>
      <c r="DT150" s="382"/>
      <c r="DU150" s="382"/>
      <c r="DV150" s="382"/>
      <c r="DW150" s="382"/>
      <c r="DX150" s="382"/>
      <c r="DY150" s="382"/>
      <c r="DZ150" s="382"/>
      <c r="EA150" s="382"/>
      <c r="EB150" s="580"/>
    </row>
    <row r="151" spans="1:132" s="517" customFormat="1" hidden="1" x14ac:dyDescent="0.3">
      <c r="A151" s="580"/>
      <c r="B151" s="580"/>
      <c r="C151" s="580"/>
      <c r="D151" s="580"/>
      <c r="E151" s="596" t="s">
        <v>197</v>
      </c>
      <c r="F151" s="601" t="b">
        <f>AND(AreaA&gt;0,AirMovement&gt;0)</f>
        <v>0</v>
      </c>
      <c r="G151" s="624" t="s">
        <v>198</v>
      </c>
      <c r="H151" s="625"/>
      <c r="I151" s="615"/>
      <c r="J151" s="615"/>
      <c r="K151" s="615"/>
      <c r="L151" s="615"/>
      <c r="M151" s="615"/>
      <c r="N151" s="615"/>
      <c r="O151" s="615"/>
      <c r="P151" s="615"/>
      <c r="Q151" s="615"/>
      <c r="R151" s="615"/>
      <c r="S151" s="615"/>
      <c r="T151" s="615"/>
      <c r="U151" s="626"/>
      <c r="V151" s="615"/>
      <c r="W151" s="615"/>
      <c r="X151" s="615"/>
      <c r="Y151" s="615"/>
      <c r="Z151" s="615"/>
      <c r="AA151" s="383"/>
      <c r="AB151" s="383"/>
      <c r="AC151" s="383"/>
      <c r="AD151" s="383"/>
      <c r="AE151" s="383"/>
      <c r="AF151" s="383"/>
      <c r="AG151" s="383"/>
      <c r="AH151" s="382"/>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c r="BP151" s="382"/>
      <c r="BQ151" s="382"/>
      <c r="BR151" s="382"/>
      <c r="BS151" s="382"/>
      <c r="BT151" s="382"/>
      <c r="BU151" s="382"/>
      <c r="BV151" s="382"/>
      <c r="BW151" s="382"/>
      <c r="BX151" s="382"/>
      <c r="BY151" s="382"/>
      <c r="BZ151" s="382"/>
      <c r="CA151" s="382"/>
      <c r="CB151" s="382"/>
      <c r="CC151" s="382"/>
      <c r="CD151" s="382"/>
      <c r="CE151" s="382"/>
      <c r="CF151" s="382"/>
      <c r="CG151" s="382"/>
      <c r="CH151" s="382"/>
      <c r="CI151" s="382"/>
      <c r="CJ151" s="382"/>
      <c r="CK151" s="382"/>
      <c r="CL151" s="382"/>
      <c r="CM151" s="382"/>
      <c r="CN151" s="382"/>
      <c r="CO151" s="382"/>
      <c r="CP151" s="382"/>
      <c r="CQ151" s="382"/>
      <c r="CR151" s="382"/>
      <c r="CS151" s="382"/>
      <c r="CT151" s="382"/>
      <c r="CU151" s="382"/>
      <c r="CV151" s="382"/>
      <c r="CW151" s="382"/>
      <c r="CX151" s="382"/>
      <c r="CY151" s="382"/>
      <c r="CZ151" s="382"/>
      <c r="DA151" s="382"/>
      <c r="DB151" s="382"/>
      <c r="DC151" s="382"/>
      <c r="DD151" s="382"/>
      <c r="DE151" s="382"/>
      <c r="DF151" s="382"/>
      <c r="DG151" s="382"/>
      <c r="DH151" s="382"/>
      <c r="DI151" s="382"/>
      <c r="DJ151" s="382"/>
      <c r="DK151" s="382"/>
      <c r="DL151" s="382"/>
      <c r="DM151" s="382"/>
      <c r="DN151" s="382"/>
      <c r="DO151" s="382"/>
      <c r="DP151" s="382"/>
      <c r="DQ151" s="382"/>
      <c r="DR151" s="382"/>
      <c r="DS151" s="382"/>
      <c r="DT151" s="382"/>
      <c r="DU151" s="382"/>
      <c r="DV151" s="382"/>
      <c r="DW151" s="382"/>
      <c r="DX151" s="382"/>
      <c r="DY151" s="382"/>
      <c r="DZ151" s="382"/>
      <c r="EA151" s="382"/>
      <c r="EB151" s="580"/>
    </row>
    <row r="152" spans="1:132" s="517" customFormat="1" hidden="1" x14ac:dyDescent="0.3">
      <c r="A152" s="580"/>
      <c r="B152" s="580"/>
      <c r="C152" s="580"/>
      <c r="D152" s="580"/>
      <c r="E152" s="596" t="s">
        <v>199</v>
      </c>
      <c r="F152" s="601" t="b">
        <f>AND(AreaB&gt;0,AirMovement&gt;0)</f>
        <v>0</v>
      </c>
      <c r="G152" s="624" t="s">
        <v>200</v>
      </c>
      <c r="H152" s="625"/>
      <c r="I152" s="615"/>
      <c r="J152" s="615"/>
      <c r="K152" s="615"/>
      <c r="L152" s="615"/>
      <c r="M152" s="615"/>
      <c r="N152" s="615"/>
      <c r="O152" s="615"/>
      <c r="P152" s="615"/>
      <c r="Q152" s="615"/>
      <c r="R152" s="615"/>
      <c r="S152" s="615"/>
      <c r="T152" s="615"/>
      <c r="U152" s="615"/>
      <c r="V152" s="615"/>
      <c r="W152" s="615"/>
      <c r="X152" s="615"/>
      <c r="Y152" s="615"/>
      <c r="Z152" s="615"/>
      <c r="AA152" s="383"/>
      <c r="AB152" s="383"/>
      <c r="AC152" s="383"/>
      <c r="AD152" s="383"/>
      <c r="AE152" s="383"/>
      <c r="AF152" s="383"/>
      <c r="AG152" s="383"/>
      <c r="AH152" s="382"/>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c r="BP152" s="382"/>
      <c r="BQ152" s="382"/>
      <c r="BR152" s="382"/>
      <c r="BS152" s="382"/>
      <c r="BT152" s="382"/>
      <c r="BU152" s="382"/>
      <c r="BV152" s="382"/>
      <c r="BW152" s="382"/>
      <c r="BX152" s="382"/>
      <c r="BY152" s="382"/>
      <c r="BZ152" s="382"/>
      <c r="CA152" s="382"/>
      <c r="CB152" s="382"/>
      <c r="CC152" s="382"/>
      <c r="CD152" s="382"/>
      <c r="CE152" s="382"/>
      <c r="CF152" s="382"/>
      <c r="CG152" s="382"/>
      <c r="CH152" s="382"/>
      <c r="CI152" s="382"/>
      <c r="CJ152" s="382"/>
      <c r="CK152" s="382"/>
      <c r="CL152" s="382"/>
      <c r="CM152" s="382"/>
      <c r="CN152" s="382"/>
      <c r="CO152" s="382"/>
      <c r="CP152" s="382"/>
      <c r="CQ152" s="382"/>
      <c r="CR152" s="382"/>
      <c r="CS152" s="382"/>
      <c r="CT152" s="382"/>
      <c r="CU152" s="382"/>
      <c r="CV152" s="382"/>
      <c r="CW152" s="382"/>
      <c r="CX152" s="382"/>
      <c r="CY152" s="382"/>
      <c r="CZ152" s="382"/>
      <c r="DA152" s="382"/>
      <c r="DB152" s="382"/>
      <c r="DC152" s="382"/>
      <c r="DD152" s="382"/>
      <c r="DE152" s="382"/>
      <c r="DF152" s="382"/>
      <c r="DG152" s="382"/>
      <c r="DH152" s="382"/>
      <c r="DI152" s="382"/>
      <c r="DJ152" s="382"/>
      <c r="DK152" s="382"/>
      <c r="DL152" s="382"/>
      <c r="DM152" s="382"/>
      <c r="DN152" s="382"/>
      <c r="DO152" s="382"/>
      <c r="DP152" s="382"/>
      <c r="DQ152" s="382"/>
      <c r="DR152" s="382"/>
      <c r="DS152" s="382"/>
      <c r="DT152" s="382"/>
      <c r="DU152" s="382"/>
      <c r="DV152" s="382"/>
      <c r="DW152" s="382"/>
      <c r="DX152" s="382"/>
      <c r="DY152" s="382"/>
      <c r="DZ152" s="382"/>
      <c r="EA152" s="382"/>
      <c r="EB152" s="580"/>
    </row>
    <row r="153" spans="1:132" s="517" customFormat="1" hidden="1" x14ac:dyDescent="0.3">
      <c r="A153" s="580"/>
      <c r="B153" s="580"/>
      <c r="C153" s="580"/>
      <c r="D153" s="580"/>
      <c r="E153" s="627" t="s">
        <v>201</v>
      </c>
      <c r="F153" s="601" t="b">
        <v>0</v>
      </c>
      <c r="G153" s="628" t="s">
        <v>497</v>
      </c>
      <c r="H153" s="629" t="str">
        <f>IF(AND(First3Inputs=TRUE,AreaAll&gt;0,AirMovement&gt;0,F153=TRUE,ISBLANK(WallConcession)=FALSE),"Selected wall concession is not available in climate zone "&amp;Zone,"")</f>
        <v/>
      </c>
      <c r="I153" s="615"/>
      <c r="J153" s="615"/>
      <c r="K153" s="615"/>
      <c r="L153" s="615"/>
      <c r="M153" s="615"/>
      <c r="N153" s="615"/>
      <c r="O153" s="615"/>
      <c r="P153" s="615"/>
      <c r="Q153" s="615"/>
      <c r="R153" s="587"/>
      <c r="S153" s="600">
        <f>LEN(H153)</f>
        <v>0</v>
      </c>
      <c r="T153" s="615"/>
      <c r="U153" s="619"/>
      <c r="V153" s="615"/>
      <c r="W153" s="615"/>
      <c r="X153" s="615"/>
      <c r="Y153" s="615"/>
      <c r="Z153" s="615"/>
      <c r="AA153" s="383"/>
      <c r="AB153" s="383"/>
      <c r="AC153" s="383"/>
      <c r="AD153" s="383"/>
      <c r="AE153" s="383"/>
      <c r="AF153" s="383"/>
      <c r="AG153" s="383"/>
      <c r="AH153" s="382"/>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c r="BP153" s="382"/>
      <c r="BQ153" s="382"/>
      <c r="BR153" s="382"/>
      <c r="BS153" s="382"/>
      <c r="BT153" s="382"/>
      <c r="BU153" s="382"/>
      <c r="BV153" s="382"/>
      <c r="BW153" s="382"/>
      <c r="BX153" s="382"/>
      <c r="BY153" s="382"/>
      <c r="BZ153" s="382"/>
      <c r="CA153" s="382"/>
      <c r="CB153" s="382"/>
      <c r="CC153" s="382"/>
      <c r="CD153" s="382"/>
      <c r="CE153" s="382"/>
      <c r="CF153" s="382"/>
      <c r="CG153" s="382"/>
      <c r="CH153" s="382"/>
      <c r="CI153" s="382"/>
      <c r="CJ153" s="382"/>
      <c r="CK153" s="382"/>
      <c r="CL153" s="382"/>
      <c r="CM153" s="382"/>
      <c r="CN153" s="382"/>
      <c r="CO153" s="382"/>
      <c r="CP153" s="382"/>
      <c r="CQ153" s="382"/>
      <c r="CR153" s="382"/>
      <c r="CS153" s="382"/>
      <c r="CT153" s="382"/>
      <c r="CU153" s="382"/>
      <c r="CV153" s="382"/>
      <c r="CW153" s="382"/>
      <c r="CX153" s="382"/>
      <c r="CY153" s="382"/>
      <c r="CZ153" s="382"/>
      <c r="DA153" s="382"/>
      <c r="DB153" s="382"/>
      <c r="DC153" s="382"/>
      <c r="DD153" s="382"/>
      <c r="DE153" s="382"/>
      <c r="DF153" s="382"/>
      <c r="DG153" s="382"/>
      <c r="DH153" s="382"/>
      <c r="DI153" s="382"/>
      <c r="DJ153" s="382"/>
      <c r="DK153" s="382"/>
      <c r="DL153" s="382"/>
      <c r="DM153" s="382"/>
      <c r="DN153" s="382"/>
      <c r="DO153" s="382"/>
      <c r="DP153" s="382"/>
      <c r="DQ153" s="382"/>
      <c r="DR153" s="382"/>
      <c r="DS153" s="382"/>
      <c r="DT153" s="382"/>
      <c r="DU153" s="382"/>
      <c r="DV153" s="382"/>
      <c r="DW153" s="382"/>
      <c r="DX153" s="382"/>
      <c r="DY153" s="382"/>
      <c r="DZ153" s="382"/>
      <c r="EA153" s="382"/>
      <c r="EB153" s="580"/>
    </row>
    <row r="154" spans="1:132" s="517" customFormat="1" hidden="1" x14ac:dyDescent="0.3">
      <c r="A154" s="580"/>
      <c r="B154" s="580"/>
      <c r="C154" s="580"/>
      <c r="D154" s="580"/>
      <c r="E154" s="596" t="s">
        <v>202</v>
      </c>
      <c r="F154" s="601" t="b">
        <f>AND(NoGlazing=FALSE,COUNTA(Building,Zone,Storey,AirMovement)=4,AreaAll&gt;0,ISBLANK(J12)=TRUE)</f>
        <v>0</v>
      </c>
      <c r="G154" s="608"/>
      <c r="H154" s="620" t="str">
        <f>IF(F154=TRUE,"Wall insulation option is blank but other data is present","")</f>
        <v/>
      </c>
      <c r="I154" s="615"/>
      <c r="J154" s="615"/>
      <c r="K154" s="615"/>
      <c r="L154" s="615"/>
      <c r="M154" s="615"/>
      <c r="N154" s="615"/>
      <c r="O154" s="615"/>
      <c r="P154" s="615"/>
      <c r="Q154" s="615"/>
      <c r="R154" s="600"/>
      <c r="S154" s="600">
        <f>LEN(H154)</f>
        <v>0</v>
      </c>
      <c r="T154" s="615"/>
      <c r="U154" s="615"/>
      <c r="V154" s="615"/>
      <c r="W154" s="615"/>
      <c r="X154" s="615"/>
      <c r="Y154" s="615"/>
      <c r="Z154" s="615"/>
      <c r="AA154" s="383"/>
      <c r="AB154" s="383"/>
      <c r="AC154" s="383"/>
      <c r="AD154" s="383"/>
      <c r="AE154" s="383"/>
      <c r="AF154" s="383"/>
      <c r="AG154" s="383"/>
      <c r="AH154" s="382"/>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c r="BP154" s="382"/>
      <c r="BQ154" s="382"/>
      <c r="BR154" s="382"/>
      <c r="BS154" s="382"/>
      <c r="BT154" s="382"/>
      <c r="BU154" s="382"/>
      <c r="BV154" s="382"/>
      <c r="BW154" s="382"/>
      <c r="BX154" s="382"/>
      <c r="BY154" s="382"/>
      <c r="BZ154" s="382"/>
      <c r="CA154" s="382"/>
      <c r="CB154" s="382"/>
      <c r="CC154" s="382"/>
      <c r="CD154" s="382"/>
      <c r="CE154" s="382"/>
      <c r="CF154" s="382"/>
      <c r="CG154" s="382"/>
      <c r="CH154" s="382"/>
      <c r="CI154" s="382"/>
      <c r="CJ154" s="382"/>
      <c r="CK154" s="382"/>
      <c r="CL154" s="382"/>
      <c r="CM154" s="382"/>
      <c r="CN154" s="382"/>
      <c r="CO154" s="382"/>
      <c r="CP154" s="382"/>
      <c r="CQ154" s="382"/>
      <c r="CR154" s="382"/>
      <c r="CS154" s="382"/>
      <c r="CT154" s="382"/>
      <c r="CU154" s="382"/>
      <c r="CV154" s="382"/>
      <c r="CW154" s="382"/>
      <c r="CX154" s="382"/>
      <c r="CY154" s="382"/>
      <c r="CZ154" s="382"/>
      <c r="DA154" s="382"/>
      <c r="DB154" s="382"/>
      <c r="DC154" s="382"/>
      <c r="DD154" s="382"/>
      <c r="DE154" s="382"/>
      <c r="DF154" s="382"/>
      <c r="DG154" s="382"/>
      <c r="DH154" s="382"/>
      <c r="DI154" s="382"/>
      <c r="DJ154" s="382"/>
      <c r="DK154" s="382"/>
      <c r="DL154" s="382"/>
      <c r="DM154" s="382"/>
      <c r="DN154" s="382"/>
      <c r="DO154" s="382"/>
      <c r="DP154" s="382"/>
      <c r="DQ154" s="382"/>
      <c r="DR154" s="382"/>
      <c r="DS154" s="382"/>
      <c r="DT154" s="382"/>
      <c r="DU154" s="382"/>
      <c r="DV154" s="382"/>
      <c r="DW154" s="382"/>
      <c r="DX154" s="382"/>
      <c r="DY154" s="382"/>
      <c r="DZ154" s="382"/>
      <c r="EA154" s="382"/>
      <c r="EB154" s="580"/>
    </row>
    <row r="155" spans="1:132" s="517" customFormat="1" hidden="1" x14ac:dyDescent="0.3">
      <c r="A155" s="580"/>
      <c r="B155" s="580"/>
      <c r="C155" s="580"/>
      <c r="D155" s="580"/>
      <c r="E155" s="596" t="s">
        <v>203</v>
      </c>
      <c r="F155" s="601" t="b">
        <f>AND(UpperInputsAlerts=0,F153=FALSE,NoGlazing=TRUE)</f>
        <v>0</v>
      </c>
      <c r="G155" s="622" t="s">
        <v>204</v>
      </c>
      <c r="H155" s="630" t="str">
        <f>IF(TopInputsOK=TRUE,"7. Enter glazing details in this table. Input above and arrow near 'ID' alter the number of rows.","")</f>
        <v/>
      </c>
      <c r="I155" s="611" t="s">
        <v>205</v>
      </c>
      <c r="J155" s="611"/>
      <c r="K155" s="611"/>
      <c r="L155" s="611"/>
      <c r="M155" s="611"/>
      <c r="N155" s="611"/>
      <c r="O155" s="631"/>
      <c r="P155" s="632"/>
      <c r="Q155" s="632"/>
      <c r="R155" s="632"/>
      <c r="S155" s="632"/>
      <c r="T155" s="632"/>
      <c r="U155" s="632"/>
      <c r="V155" s="632"/>
      <c r="W155" s="632"/>
      <c r="X155" s="632"/>
      <c r="Y155" s="632"/>
      <c r="Z155" s="632"/>
      <c r="AA155" s="383"/>
      <c r="AB155" s="383"/>
      <c r="AC155" s="383"/>
      <c r="AD155" s="383"/>
      <c r="AE155" s="383"/>
      <c r="AF155" s="383"/>
      <c r="AG155" s="383"/>
      <c r="AH155" s="382"/>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c r="BP155" s="382"/>
      <c r="BQ155" s="382"/>
      <c r="BR155" s="382"/>
      <c r="BS155" s="382"/>
      <c r="BT155" s="382"/>
      <c r="BU155" s="382"/>
      <c r="BV155" s="382"/>
      <c r="BW155" s="382"/>
      <c r="BX155" s="382"/>
      <c r="BY155" s="382"/>
      <c r="BZ155" s="382"/>
      <c r="CA155" s="382"/>
      <c r="CB155" s="382"/>
      <c r="CC155" s="382"/>
      <c r="CD155" s="382"/>
      <c r="CE155" s="382"/>
      <c r="CF155" s="382"/>
      <c r="CG155" s="382"/>
      <c r="CH155" s="382"/>
      <c r="CI155" s="382"/>
      <c r="CJ155" s="382"/>
      <c r="CK155" s="382"/>
      <c r="CL155" s="382"/>
      <c r="CM155" s="382"/>
      <c r="CN155" s="382"/>
      <c r="CO155" s="382"/>
      <c r="CP155" s="382"/>
      <c r="CQ155" s="382"/>
      <c r="CR155" s="382"/>
      <c r="CS155" s="382"/>
      <c r="CT155" s="382"/>
      <c r="CU155" s="382"/>
      <c r="CV155" s="382"/>
      <c r="CW155" s="382"/>
      <c r="CX155" s="382"/>
      <c r="CY155" s="382"/>
      <c r="CZ155" s="382"/>
      <c r="DA155" s="382"/>
      <c r="DB155" s="382"/>
      <c r="DC155" s="382"/>
      <c r="DD155" s="382"/>
      <c r="DE155" s="382"/>
      <c r="DF155" s="382"/>
      <c r="DG155" s="382"/>
      <c r="DH155" s="382"/>
      <c r="DI155" s="382"/>
      <c r="DJ155" s="382"/>
      <c r="DK155" s="382"/>
      <c r="DL155" s="382"/>
      <c r="DM155" s="382"/>
      <c r="DN155" s="382"/>
      <c r="DO155" s="382"/>
      <c r="DP155" s="382"/>
      <c r="DQ155" s="382"/>
      <c r="DR155" s="382"/>
      <c r="DS155" s="382"/>
      <c r="DT155" s="382"/>
      <c r="DU155" s="382"/>
      <c r="DV155" s="382"/>
      <c r="DW155" s="382"/>
      <c r="DX155" s="382"/>
      <c r="DY155" s="382"/>
      <c r="DZ155" s="382"/>
      <c r="EA155" s="382"/>
      <c r="EB155" s="580"/>
    </row>
    <row r="156" spans="1:132" s="517" customFormat="1" hidden="1" x14ac:dyDescent="0.3">
      <c r="A156" s="580"/>
      <c r="B156" s="580"/>
      <c r="C156" s="580"/>
      <c r="D156" s="580"/>
      <c r="E156" s="585"/>
      <c r="F156" s="586"/>
      <c r="G156" s="633"/>
      <c r="H156" s="633"/>
      <c r="I156" s="633"/>
      <c r="J156" s="633"/>
      <c r="K156" s="633"/>
      <c r="L156" s="633"/>
      <c r="M156" s="633"/>
      <c r="N156" s="633"/>
      <c r="O156" s="633"/>
      <c r="P156" s="633"/>
      <c r="Q156" s="615"/>
      <c r="R156" s="615"/>
      <c r="S156" s="615"/>
      <c r="T156" s="615"/>
      <c r="U156" s="615"/>
      <c r="V156" s="615"/>
      <c r="W156" s="615"/>
      <c r="X156" s="615"/>
      <c r="Y156" s="615"/>
      <c r="Z156" s="615"/>
      <c r="AA156" s="383"/>
      <c r="AB156" s="383"/>
      <c r="AC156" s="383"/>
      <c r="AD156" s="383"/>
      <c r="AE156" s="383"/>
      <c r="AF156" s="383"/>
      <c r="AG156" s="383"/>
      <c r="AH156" s="382"/>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c r="BP156" s="382"/>
      <c r="BQ156" s="382"/>
      <c r="BR156" s="382"/>
      <c r="BS156" s="382"/>
      <c r="BT156" s="382"/>
      <c r="BU156" s="382"/>
      <c r="BV156" s="382"/>
      <c r="BW156" s="382"/>
      <c r="BX156" s="382"/>
      <c r="BY156" s="382"/>
      <c r="BZ156" s="382"/>
      <c r="CA156" s="382"/>
      <c r="CB156" s="382"/>
      <c r="CC156" s="382"/>
      <c r="CD156" s="382"/>
      <c r="CE156" s="382"/>
      <c r="CF156" s="382"/>
      <c r="CG156" s="382"/>
      <c r="CH156" s="382"/>
      <c r="CI156" s="382"/>
      <c r="CJ156" s="382"/>
      <c r="CK156" s="382"/>
      <c r="CL156" s="382"/>
      <c r="CM156" s="382"/>
      <c r="CN156" s="382"/>
      <c r="CO156" s="382"/>
      <c r="CP156" s="382"/>
      <c r="CQ156" s="382"/>
      <c r="CR156" s="382"/>
      <c r="CS156" s="382"/>
      <c r="CT156" s="382"/>
      <c r="CU156" s="382"/>
      <c r="CV156" s="382"/>
      <c r="CW156" s="382"/>
      <c r="CX156" s="382"/>
      <c r="CY156" s="382"/>
      <c r="CZ156" s="382"/>
      <c r="DA156" s="382"/>
      <c r="DB156" s="382"/>
      <c r="DC156" s="382"/>
      <c r="DD156" s="382"/>
      <c r="DE156" s="382"/>
      <c r="DF156" s="382"/>
      <c r="DG156" s="382"/>
      <c r="DH156" s="382"/>
      <c r="DI156" s="382"/>
      <c r="DJ156" s="382"/>
      <c r="DK156" s="382"/>
      <c r="DL156" s="382"/>
      <c r="DM156" s="382"/>
      <c r="DN156" s="382"/>
      <c r="DO156" s="382"/>
      <c r="DP156" s="382"/>
      <c r="DQ156" s="382"/>
      <c r="DR156" s="382"/>
      <c r="DS156" s="382"/>
      <c r="DT156" s="382"/>
      <c r="DU156" s="382"/>
      <c r="DV156" s="382"/>
      <c r="DW156" s="382"/>
      <c r="DX156" s="382"/>
      <c r="DY156" s="382"/>
      <c r="DZ156" s="382"/>
      <c r="EA156" s="382"/>
      <c r="EB156" s="580"/>
    </row>
    <row r="157" spans="1:132" s="517" customFormat="1" hidden="1" x14ac:dyDescent="0.3">
      <c r="A157" s="580"/>
      <c r="B157" s="592" t="s">
        <v>206</v>
      </c>
      <c r="C157" s="594"/>
      <c r="D157" s="594"/>
      <c r="E157" s="594"/>
      <c r="F157" s="634">
        <v>1</v>
      </c>
      <c r="G157" s="634">
        <v>2</v>
      </c>
      <c r="H157" s="634">
        <v>3</v>
      </c>
      <c r="I157" s="634">
        <v>4</v>
      </c>
      <c r="J157" s="634">
        <v>5</v>
      </c>
      <c r="K157" s="634">
        <v>6</v>
      </c>
      <c r="L157" s="634">
        <v>7</v>
      </c>
      <c r="M157" s="634">
        <v>8</v>
      </c>
      <c r="N157" s="615"/>
      <c r="O157" s="615"/>
      <c r="P157" s="615"/>
      <c r="Q157" s="615"/>
      <c r="R157" s="615"/>
      <c r="S157" s="615"/>
      <c r="T157" s="615"/>
      <c r="U157" s="615"/>
      <c r="V157" s="615"/>
      <c r="W157" s="615"/>
      <c r="X157" s="615"/>
      <c r="Y157" s="615"/>
      <c r="Z157" s="615"/>
      <c r="AA157" s="383"/>
      <c r="AB157" s="383"/>
      <c r="AC157" s="383"/>
      <c r="AD157" s="383"/>
      <c r="AE157" s="383"/>
      <c r="AF157" s="383"/>
      <c r="AG157" s="383"/>
      <c r="AH157" s="382"/>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c r="BP157" s="382"/>
      <c r="BQ157" s="382"/>
      <c r="BR157" s="382"/>
      <c r="BS157" s="382"/>
      <c r="BT157" s="382"/>
      <c r="BU157" s="382"/>
      <c r="BV157" s="382"/>
      <c r="BW157" s="382"/>
      <c r="BX157" s="382"/>
      <c r="BY157" s="382"/>
      <c r="BZ157" s="382"/>
      <c r="CA157" s="382"/>
      <c r="CB157" s="382"/>
      <c r="CC157" s="382"/>
      <c r="CD157" s="382"/>
      <c r="CE157" s="382"/>
      <c r="CF157" s="382"/>
      <c r="CG157" s="382"/>
      <c r="CH157" s="382"/>
      <c r="CI157" s="382"/>
      <c r="CJ157" s="382"/>
      <c r="CK157" s="382"/>
      <c r="CL157" s="382"/>
      <c r="CM157" s="382"/>
      <c r="CN157" s="382"/>
      <c r="CO157" s="382"/>
      <c r="CP157" s="382"/>
      <c r="CQ157" s="382"/>
      <c r="CR157" s="382"/>
      <c r="CS157" s="382"/>
      <c r="CT157" s="382"/>
      <c r="CU157" s="382"/>
      <c r="CV157" s="382"/>
      <c r="CW157" s="382"/>
      <c r="CX157" s="382"/>
      <c r="CY157" s="382"/>
      <c r="CZ157" s="382"/>
      <c r="DA157" s="382"/>
      <c r="DB157" s="382"/>
      <c r="DC157" s="382"/>
      <c r="DD157" s="382"/>
      <c r="DE157" s="382"/>
      <c r="DF157" s="382"/>
      <c r="DG157" s="382"/>
      <c r="DH157" s="382"/>
      <c r="DI157" s="382"/>
      <c r="DJ157" s="382"/>
      <c r="DK157" s="382"/>
      <c r="DL157" s="382"/>
      <c r="DM157" s="382"/>
      <c r="DN157" s="382"/>
      <c r="DO157" s="382"/>
      <c r="DP157" s="382"/>
      <c r="DQ157" s="382"/>
      <c r="DR157" s="382"/>
      <c r="DS157" s="382"/>
      <c r="DT157" s="382"/>
      <c r="DU157" s="382"/>
      <c r="DV157" s="382"/>
      <c r="DW157" s="382"/>
      <c r="DX157" s="382"/>
      <c r="DY157" s="382"/>
      <c r="DZ157" s="382"/>
      <c r="EA157" s="382"/>
      <c r="EB157" s="580"/>
    </row>
    <row r="158" spans="1:132" s="517" customFormat="1" hidden="1" x14ac:dyDescent="0.3">
      <c r="A158" s="580"/>
      <c r="B158" s="580"/>
      <c r="C158" s="580"/>
      <c r="D158" s="580"/>
      <c r="E158" s="635" t="s">
        <v>207</v>
      </c>
      <c r="F158" s="636" t="str">
        <f t="shared" ref="F158:I158" si="286">IF(UpperInputsFlagged=0,INDEX(Orientations,1,F157),"")</f>
        <v/>
      </c>
      <c r="G158" s="636" t="str">
        <f t="shared" si="286"/>
        <v/>
      </c>
      <c r="H158" s="636" t="str">
        <f t="shared" si="286"/>
        <v/>
      </c>
      <c r="I158" s="636" t="str">
        <f t="shared" si="286"/>
        <v/>
      </c>
      <c r="J158" s="636" t="str">
        <f>IF(UpperInputsFlagged=0,INDEX(Orientations,1,J157),"")</f>
        <v/>
      </c>
      <c r="K158" s="636" t="str">
        <f>IF(UpperInputsFlagged=0,INDEX(Orientations,1,K157),"")</f>
        <v/>
      </c>
      <c r="L158" s="636" t="str">
        <f>IF(UpperInputsFlagged=0,INDEX(Orientations,1,L157),"")</f>
        <v/>
      </c>
      <c r="M158" s="636" t="str">
        <f>IF(UpperInputsFlagged=0,INDEX(Orientations,1,M157),"")</f>
        <v/>
      </c>
      <c r="N158" s="637" t="s">
        <v>208</v>
      </c>
      <c r="O158" s="615"/>
      <c r="P158" s="615"/>
      <c r="Q158" s="615"/>
      <c r="R158" s="615"/>
      <c r="S158" s="615"/>
      <c r="T158" s="615"/>
      <c r="U158" s="615"/>
      <c r="V158" s="615"/>
      <c r="W158" s="615"/>
      <c r="X158" s="615"/>
      <c r="Y158" s="615"/>
      <c r="Z158" s="615"/>
      <c r="AA158" s="383"/>
      <c r="AB158" s="383"/>
      <c r="AC158" s="383"/>
      <c r="AD158" s="383"/>
      <c r="AE158" s="383"/>
      <c r="AF158" s="383"/>
      <c r="AG158" s="383"/>
      <c r="AH158" s="382"/>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c r="BP158" s="382"/>
      <c r="BQ158" s="382"/>
      <c r="BR158" s="382"/>
      <c r="BS158" s="382"/>
      <c r="BT158" s="382"/>
      <c r="BU158" s="382"/>
      <c r="BV158" s="382"/>
      <c r="BW158" s="382"/>
      <c r="BX158" s="382"/>
      <c r="BY158" s="382"/>
      <c r="BZ158" s="382"/>
      <c r="CA158" s="382"/>
      <c r="CB158" s="382"/>
      <c r="CC158" s="382"/>
      <c r="CD158" s="382"/>
      <c r="CE158" s="382"/>
      <c r="CF158" s="382"/>
      <c r="CG158" s="382"/>
      <c r="CH158" s="382"/>
      <c r="CI158" s="382"/>
      <c r="CJ158" s="382"/>
      <c r="CK158" s="382"/>
      <c r="CL158" s="382"/>
      <c r="CM158" s="382"/>
      <c r="CN158" s="382"/>
      <c r="CO158" s="382"/>
      <c r="CP158" s="382"/>
      <c r="CQ158" s="382"/>
      <c r="CR158" s="382"/>
      <c r="CS158" s="382"/>
      <c r="CT158" s="382"/>
      <c r="CU158" s="382"/>
      <c r="CV158" s="382"/>
      <c r="CW158" s="382"/>
      <c r="CX158" s="382"/>
      <c r="CY158" s="382"/>
      <c r="CZ158" s="382"/>
      <c r="DA158" s="382"/>
      <c r="DB158" s="382"/>
      <c r="DC158" s="382"/>
      <c r="DD158" s="382"/>
      <c r="DE158" s="382"/>
      <c r="DF158" s="382"/>
      <c r="DG158" s="382"/>
      <c r="DH158" s="382"/>
      <c r="DI158" s="382"/>
      <c r="DJ158" s="382"/>
      <c r="DK158" s="382"/>
      <c r="DL158" s="382"/>
      <c r="DM158" s="382"/>
      <c r="DN158" s="382"/>
      <c r="DO158" s="382"/>
      <c r="DP158" s="382"/>
      <c r="DQ158" s="382"/>
      <c r="DR158" s="382"/>
      <c r="DS158" s="382"/>
      <c r="DT158" s="382"/>
      <c r="DU158" s="382"/>
      <c r="DV158" s="382"/>
      <c r="DW158" s="382"/>
      <c r="DX158" s="382"/>
      <c r="DY158" s="382"/>
      <c r="DZ158" s="382"/>
      <c r="EA158" s="382"/>
      <c r="EB158" s="580"/>
    </row>
    <row r="159" spans="1:132" s="517" customFormat="1" hidden="1" x14ac:dyDescent="0.3">
      <c r="A159" s="580"/>
      <c r="B159" s="580"/>
      <c r="C159" s="580"/>
      <c r="D159" s="580"/>
      <c r="E159" s="585"/>
      <c r="F159" s="586"/>
      <c r="G159" s="633"/>
      <c r="H159" s="633"/>
      <c r="I159" s="633"/>
      <c r="J159" s="633"/>
      <c r="K159" s="633"/>
      <c r="L159" s="633"/>
      <c r="M159" s="633"/>
      <c r="N159" s="633"/>
      <c r="O159" s="633"/>
      <c r="P159" s="633"/>
      <c r="Q159" s="615"/>
      <c r="R159" s="615"/>
      <c r="S159" s="615"/>
      <c r="T159" s="615"/>
      <c r="U159" s="615"/>
      <c r="V159" s="615"/>
      <c r="W159" s="615"/>
      <c r="X159" s="615"/>
      <c r="Y159" s="615"/>
      <c r="Z159" s="615"/>
      <c r="AA159" s="383"/>
      <c r="AB159" s="383"/>
      <c r="AC159" s="383"/>
      <c r="AD159" s="383"/>
      <c r="AE159" s="383"/>
      <c r="AF159" s="383"/>
      <c r="AG159" s="383"/>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c r="BP159" s="382"/>
      <c r="BQ159" s="382"/>
      <c r="BR159" s="382"/>
      <c r="BS159" s="382"/>
      <c r="BT159" s="382"/>
      <c r="BU159" s="382"/>
      <c r="BV159" s="382"/>
      <c r="BW159" s="382"/>
      <c r="BX159" s="382"/>
      <c r="BY159" s="382"/>
      <c r="BZ159" s="382"/>
      <c r="CA159" s="382"/>
      <c r="CB159" s="382"/>
      <c r="CC159" s="382"/>
      <c r="CD159" s="382"/>
      <c r="CE159" s="382"/>
      <c r="CF159" s="382"/>
      <c r="CG159" s="382"/>
      <c r="CH159" s="382"/>
      <c r="CI159" s="382"/>
      <c r="CJ159" s="382"/>
      <c r="CK159" s="382"/>
      <c r="CL159" s="382"/>
      <c r="CM159" s="382"/>
      <c r="CN159" s="382"/>
      <c r="CO159" s="382"/>
      <c r="CP159" s="382"/>
      <c r="CQ159" s="382"/>
      <c r="CR159" s="382"/>
      <c r="CS159" s="382"/>
      <c r="CT159" s="382"/>
      <c r="CU159" s="382"/>
      <c r="CV159" s="382"/>
      <c r="CW159" s="382"/>
      <c r="CX159" s="382"/>
      <c r="CY159" s="382"/>
      <c r="CZ159" s="382"/>
      <c r="DA159" s="382"/>
      <c r="DB159" s="382"/>
      <c r="DC159" s="382"/>
      <c r="DD159" s="382"/>
      <c r="DE159" s="382"/>
      <c r="DF159" s="382"/>
      <c r="DG159" s="382"/>
      <c r="DH159" s="382"/>
      <c r="DI159" s="382"/>
      <c r="DJ159" s="382"/>
      <c r="DK159" s="382"/>
      <c r="DL159" s="382"/>
      <c r="DM159" s="382"/>
      <c r="DN159" s="382"/>
      <c r="DO159" s="382"/>
      <c r="DP159" s="382"/>
      <c r="DQ159" s="382"/>
      <c r="DR159" s="382"/>
      <c r="DS159" s="382"/>
      <c r="DT159" s="382"/>
      <c r="DU159" s="382"/>
      <c r="DV159" s="382"/>
      <c r="DW159" s="382"/>
      <c r="DX159" s="382"/>
      <c r="DY159" s="382"/>
      <c r="DZ159" s="382"/>
      <c r="EA159" s="382"/>
      <c r="EB159" s="580"/>
    </row>
    <row r="160" spans="1:132" s="517" customFormat="1" hidden="1" x14ac:dyDescent="0.3">
      <c r="A160" s="580"/>
      <c r="B160" s="592" t="s">
        <v>209</v>
      </c>
      <c r="C160" s="592"/>
      <c r="D160" s="592"/>
      <c r="E160" s="592"/>
      <c r="F160" s="592"/>
      <c r="G160" s="592"/>
      <c r="H160" s="592"/>
      <c r="I160" s="592"/>
      <c r="J160" s="592"/>
      <c r="K160" s="592"/>
      <c r="L160" s="592"/>
      <c r="M160" s="592"/>
      <c r="N160" s="592"/>
      <c r="O160" s="592"/>
      <c r="P160" s="592"/>
      <c r="Q160" s="592"/>
      <c r="R160" s="592"/>
      <c r="S160" s="592"/>
      <c r="T160" s="592"/>
      <c r="U160" s="592"/>
      <c r="V160" s="592"/>
      <c r="W160" s="592"/>
      <c r="X160" s="592"/>
      <c r="Y160" s="592"/>
      <c r="Z160" s="59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c r="BP160" s="382"/>
      <c r="BQ160" s="382"/>
      <c r="BR160" s="382"/>
      <c r="BS160" s="382"/>
      <c r="BT160" s="382"/>
      <c r="BU160" s="382"/>
      <c r="BV160" s="382"/>
      <c r="BW160" s="382"/>
      <c r="BX160" s="382"/>
      <c r="BY160" s="382"/>
      <c r="BZ160" s="382"/>
      <c r="CA160" s="382"/>
      <c r="CB160" s="382"/>
      <c r="CC160" s="382"/>
      <c r="CD160" s="382"/>
      <c r="CE160" s="382"/>
      <c r="CF160" s="382"/>
      <c r="CG160" s="382"/>
      <c r="CH160" s="382"/>
      <c r="CI160" s="382"/>
      <c r="CJ160" s="382"/>
      <c r="CK160" s="382"/>
      <c r="CL160" s="382"/>
      <c r="CM160" s="382"/>
      <c r="CN160" s="382"/>
      <c r="CO160" s="382"/>
      <c r="CP160" s="382"/>
      <c r="CQ160" s="382"/>
      <c r="CR160" s="382"/>
      <c r="CS160" s="382"/>
      <c r="CT160" s="382"/>
      <c r="CU160" s="382"/>
      <c r="CV160" s="382"/>
      <c r="CW160" s="382"/>
      <c r="CX160" s="382"/>
      <c r="CY160" s="382"/>
      <c r="CZ160" s="382"/>
      <c r="DA160" s="382"/>
      <c r="DB160" s="382"/>
      <c r="DC160" s="382"/>
      <c r="DD160" s="382"/>
      <c r="DE160" s="382"/>
      <c r="DF160" s="382"/>
      <c r="DG160" s="382"/>
      <c r="DH160" s="382"/>
      <c r="DI160" s="382"/>
      <c r="DJ160" s="382"/>
      <c r="DK160" s="382"/>
      <c r="DL160" s="382"/>
      <c r="DM160" s="382"/>
      <c r="DN160" s="382"/>
      <c r="DO160" s="382"/>
      <c r="DP160" s="382"/>
      <c r="DQ160" s="382"/>
      <c r="DR160" s="382"/>
      <c r="DS160" s="382"/>
      <c r="DT160" s="382"/>
      <c r="DU160" s="382"/>
      <c r="DV160" s="382"/>
      <c r="DW160" s="382"/>
      <c r="DX160" s="382"/>
      <c r="DY160" s="382"/>
      <c r="DZ160" s="382"/>
      <c r="EA160" s="382"/>
      <c r="EB160" s="580"/>
    </row>
    <row r="161" spans="1:132" s="517" customFormat="1" hidden="1" x14ac:dyDescent="0.3">
      <c r="A161" s="580"/>
      <c r="B161" s="580"/>
      <c r="C161" s="580"/>
      <c r="D161" s="580"/>
      <c r="E161" s="581" t="s">
        <v>210</v>
      </c>
      <c r="F161" s="638">
        <f>COUNT(Rows)</f>
        <v>80</v>
      </c>
      <c r="G161" s="639" t="s">
        <v>211</v>
      </c>
      <c r="H161" s="640"/>
      <c r="I161" s="641"/>
      <c r="J161" s="641"/>
      <c r="K161" s="641"/>
      <c r="L161" s="641"/>
      <c r="M161" s="641"/>
      <c r="N161" s="641"/>
      <c r="O161" s="641"/>
      <c r="P161" s="641"/>
      <c r="Q161" s="615"/>
      <c r="R161" s="615"/>
      <c r="S161" s="615"/>
      <c r="T161" s="615"/>
      <c r="U161" s="615"/>
      <c r="V161" s="615"/>
      <c r="W161" s="615"/>
      <c r="X161" s="615"/>
      <c r="Y161" s="615"/>
      <c r="Z161" s="615"/>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c r="BP161" s="382"/>
      <c r="BQ161" s="382"/>
      <c r="BR161" s="382"/>
      <c r="BS161" s="382"/>
      <c r="BT161" s="382"/>
      <c r="BU161" s="382"/>
      <c r="BV161" s="382"/>
      <c r="BW161" s="382"/>
      <c r="BX161" s="382"/>
      <c r="BY161" s="382"/>
      <c r="BZ161" s="382"/>
      <c r="CA161" s="382"/>
      <c r="CB161" s="382"/>
      <c r="CC161" s="382"/>
      <c r="CD161" s="382"/>
      <c r="CE161" s="382"/>
      <c r="CF161" s="382"/>
      <c r="CG161" s="382"/>
      <c r="CH161" s="382"/>
      <c r="CI161" s="382"/>
      <c r="CJ161" s="382"/>
      <c r="CK161" s="382"/>
      <c r="CL161" s="382"/>
      <c r="CM161" s="382"/>
      <c r="CN161" s="382"/>
      <c r="CO161" s="382"/>
      <c r="CP161" s="382"/>
      <c r="CQ161" s="382"/>
      <c r="CR161" s="382"/>
      <c r="CS161" s="382"/>
      <c r="CT161" s="382"/>
      <c r="CU161" s="382"/>
      <c r="CV161" s="382"/>
      <c r="CW161" s="382"/>
      <c r="CX161" s="382"/>
      <c r="CY161" s="382"/>
      <c r="CZ161" s="382"/>
      <c r="DA161" s="382"/>
      <c r="DB161" s="382"/>
      <c r="DC161" s="382"/>
      <c r="DD161" s="382"/>
      <c r="DE161" s="382"/>
      <c r="DF161" s="382"/>
      <c r="DG161" s="382"/>
      <c r="DH161" s="382"/>
      <c r="DI161" s="382"/>
      <c r="DJ161" s="382"/>
      <c r="DK161" s="382"/>
      <c r="DL161" s="382"/>
      <c r="DM161" s="382"/>
      <c r="DN161" s="382"/>
      <c r="DO161" s="382"/>
      <c r="DP161" s="382"/>
      <c r="DQ161" s="382"/>
      <c r="DR161" s="382"/>
      <c r="DS161" s="382"/>
      <c r="DT161" s="382"/>
      <c r="DU161" s="382"/>
      <c r="DV161" s="382"/>
      <c r="DW161" s="382"/>
      <c r="DX161" s="382"/>
      <c r="DY161" s="382"/>
      <c r="DZ161" s="382"/>
      <c r="EA161" s="382"/>
      <c r="EB161" s="580"/>
    </row>
    <row r="162" spans="1:132" s="517" customFormat="1" hidden="1" x14ac:dyDescent="0.3">
      <c r="A162" s="580"/>
      <c r="B162" s="580"/>
      <c r="C162" s="580"/>
      <c r="D162" s="580"/>
      <c r="E162" s="581" t="s">
        <v>212</v>
      </c>
      <c r="F162" s="642">
        <f>SUBTOTAL(2,Rows)</f>
        <v>20</v>
      </c>
      <c r="G162" s="643" t="s">
        <v>213</v>
      </c>
      <c r="H162" s="625"/>
      <c r="I162" s="641"/>
      <c r="J162" s="641"/>
      <c r="K162" s="641"/>
      <c r="L162" s="641"/>
      <c r="M162" s="641"/>
      <c r="N162" s="641"/>
      <c r="O162" s="641"/>
      <c r="P162" s="641"/>
      <c r="Q162" s="615"/>
      <c r="R162" s="615"/>
      <c r="S162" s="615"/>
      <c r="T162" s="615"/>
      <c r="U162" s="615"/>
      <c r="V162" s="615"/>
      <c r="W162" s="615"/>
      <c r="X162" s="615"/>
      <c r="Y162" s="615"/>
      <c r="Z162" s="615"/>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c r="BP162" s="382"/>
      <c r="BQ162" s="382"/>
      <c r="BR162" s="382"/>
      <c r="BS162" s="382"/>
      <c r="BT162" s="382"/>
      <c r="BU162" s="382"/>
      <c r="BV162" s="382"/>
      <c r="BW162" s="382"/>
      <c r="BX162" s="382"/>
      <c r="BY162" s="382"/>
      <c r="BZ162" s="382"/>
      <c r="CA162" s="382"/>
      <c r="CB162" s="382"/>
      <c r="CC162" s="382"/>
      <c r="CD162" s="382"/>
      <c r="CE162" s="382"/>
      <c r="CF162" s="382"/>
      <c r="CG162" s="382"/>
      <c r="CH162" s="382"/>
      <c r="CI162" s="382"/>
      <c r="CJ162" s="382"/>
      <c r="CK162" s="382"/>
      <c r="CL162" s="382"/>
      <c r="CM162" s="382"/>
      <c r="CN162" s="382"/>
      <c r="CO162" s="382"/>
      <c r="CP162" s="382"/>
      <c r="CQ162" s="382"/>
      <c r="CR162" s="382"/>
      <c r="CS162" s="382"/>
      <c r="CT162" s="382"/>
      <c r="CU162" s="382"/>
      <c r="CV162" s="382"/>
      <c r="CW162" s="382"/>
      <c r="CX162" s="382"/>
      <c r="CY162" s="382"/>
      <c r="CZ162" s="382"/>
      <c r="DA162" s="382"/>
      <c r="DB162" s="382"/>
      <c r="DC162" s="382"/>
      <c r="DD162" s="382"/>
      <c r="DE162" s="382"/>
      <c r="DF162" s="382"/>
      <c r="DG162" s="382"/>
      <c r="DH162" s="382"/>
      <c r="DI162" s="382"/>
      <c r="DJ162" s="382"/>
      <c r="DK162" s="382"/>
      <c r="DL162" s="382"/>
      <c r="DM162" s="382"/>
      <c r="DN162" s="382"/>
      <c r="DO162" s="382"/>
      <c r="DP162" s="382"/>
      <c r="DQ162" s="382"/>
      <c r="DR162" s="382"/>
      <c r="DS162" s="382"/>
      <c r="DT162" s="382"/>
      <c r="DU162" s="382"/>
      <c r="DV162" s="382"/>
      <c r="DW162" s="382"/>
      <c r="DX162" s="382"/>
      <c r="DY162" s="382"/>
      <c r="DZ162" s="382"/>
      <c r="EA162" s="382"/>
      <c r="EB162" s="580"/>
    </row>
    <row r="163" spans="1:132" s="517" customFormat="1" hidden="1" x14ac:dyDescent="0.3">
      <c r="A163" s="580"/>
      <c r="B163" s="580"/>
      <c r="C163" s="580"/>
      <c r="D163" s="580"/>
      <c r="E163" s="581" t="s">
        <v>214</v>
      </c>
      <c r="F163" s="642">
        <f>SUBTOTAL(9,AD20:AD99)</f>
        <v>0</v>
      </c>
      <c r="G163" s="643" t="s">
        <v>215</v>
      </c>
      <c r="H163" s="608"/>
      <c r="I163" s="580"/>
      <c r="J163" s="580"/>
      <c r="K163" s="580"/>
      <c r="L163" s="580"/>
      <c r="M163" s="580"/>
      <c r="N163" s="580"/>
      <c r="O163" s="580"/>
      <c r="P163" s="580"/>
      <c r="Q163" s="615"/>
      <c r="R163" s="615"/>
      <c r="S163" s="615"/>
      <c r="T163" s="615"/>
      <c r="U163" s="615"/>
      <c r="V163" s="615"/>
      <c r="W163" s="615"/>
      <c r="X163" s="615"/>
      <c r="Y163" s="615"/>
      <c r="Z163" s="615"/>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c r="BP163" s="382"/>
      <c r="BQ163" s="382"/>
      <c r="BR163" s="382"/>
      <c r="BS163" s="382"/>
      <c r="BT163" s="382"/>
      <c r="BU163" s="382"/>
      <c r="BV163" s="382"/>
      <c r="BW163" s="382"/>
      <c r="BX163" s="382"/>
      <c r="BY163" s="382"/>
      <c r="BZ163" s="382"/>
      <c r="CA163" s="382"/>
      <c r="CB163" s="382"/>
      <c r="CC163" s="382"/>
      <c r="CD163" s="382"/>
      <c r="CE163" s="382"/>
      <c r="CF163" s="382"/>
      <c r="CG163" s="382"/>
      <c r="CH163" s="382"/>
      <c r="CI163" s="382"/>
      <c r="CJ163" s="382"/>
      <c r="CK163" s="382"/>
      <c r="CL163" s="382"/>
      <c r="CM163" s="382"/>
      <c r="CN163" s="382"/>
      <c r="CO163" s="382"/>
      <c r="CP163" s="382"/>
      <c r="CQ163" s="382"/>
      <c r="CR163" s="382"/>
      <c r="CS163" s="382"/>
      <c r="CT163" s="382"/>
      <c r="CU163" s="382"/>
      <c r="CV163" s="382"/>
      <c r="CW163" s="382"/>
      <c r="CX163" s="382"/>
      <c r="CY163" s="382"/>
      <c r="CZ163" s="382"/>
      <c r="DA163" s="382"/>
      <c r="DB163" s="382"/>
      <c r="DC163" s="382"/>
      <c r="DD163" s="382"/>
      <c r="DE163" s="382"/>
      <c r="DF163" s="382"/>
      <c r="DG163" s="382"/>
      <c r="DH163" s="382"/>
      <c r="DI163" s="382"/>
      <c r="DJ163" s="382"/>
      <c r="DK163" s="382"/>
      <c r="DL163" s="382"/>
      <c r="DM163" s="382"/>
      <c r="DN163" s="382"/>
      <c r="DO163" s="382"/>
      <c r="DP163" s="382"/>
      <c r="DQ163" s="382"/>
      <c r="DR163" s="382"/>
      <c r="DS163" s="382"/>
      <c r="DT163" s="382"/>
      <c r="DU163" s="382"/>
      <c r="DV163" s="382"/>
      <c r="DW163" s="382"/>
      <c r="DX163" s="382"/>
      <c r="DY163" s="382"/>
      <c r="DZ163" s="382"/>
      <c r="EA163" s="382"/>
      <c r="EB163" s="580"/>
    </row>
    <row r="164" spans="1:132" s="517" customFormat="1" hidden="1" x14ac:dyDescent="0.3">
      <c r="A164" s="580"/>
      <c r="B164" s="580"/>
      <c r="C164" s="580"/>
      <c r="D164" s="580"/>
      <c r="E164" s="581" t="s">
        <v>216</v>
      </c>
      <c r="F164" s="644">
        <f>RowsActive-ActiveDisplayed</f>
        <v>0</v>
      </c>
      <c r="G164" s="643" t="s">
        <v>217</v>
      </c>
      <c r="H164" s="645" t="str">
        <f>IF(ActiveHidden&lt;&gt;0,ActiveHidden&amp;" row"&amp;IF(ActiveHidden=1,"","s")&amp;" containing glazing details "&amp;IF(ActiveHidden=1,"is","are")&amp;" hidden.
(Use input above and arrow at left to display at least "&amp;LastActive&amp;" row"&amp;IF(LastActive=1,".)","s.)"),"")</f>
        <v/>
      </c>
      <c r="I164" s="580"/>
      <c r="J164" s="580"/>
      <c r="K164" s="580"/>
      <c r="L164" s="580"/>
      <c r="M164" s="580"/>
      <c r="N164" s="580"/>
      <c r="O164" s="580"/>
      <c r="P164" s="580"/>
      <c r="Q164" s="615"/>
      <c r="R164" s="615"/>
      <c r="S164" s="615"/>
      <c r="T164" s="615"/>
      <c r="U164" s="615"/>
      <c r="V164" s="615"/>
      <c r="W164" s="615"/>
      <c r="X164" s="615"/>
      <c r="Y164" s="615"/>
      <c r="Z164" s="615"/>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c r="BP164" s="382"/>
      <c r="BQ164" s="382"/>
      <c r="BR164" s="382"/>
      <c r="BS164" s="382"/>
      <c r="BT164" s="382"/>
      <c r="BU164" s="382"/>
      <c r="BV164" s="382"/>
      <c r="BW164" s="382"/>
      <c r="BX164" s="382"/>
      <c r="BY164" s="382"/>
      <c r="BZ164" s="382"/>
      <c r="CA164" s="382"/>
      <c r="CB164" s="382"/>
      <c r="CC164" s="382"/>
      <c r="CD164" s="382"/>
      <c r="CE164" s="382"/>
      <c r="CF164" s="382"/>
      <c r="CG164" s="382"/>
      <c r="CH164" s="382"/>
      <c r="CI164" s="382"/>
      <c r="CJ164" s="382"/>
      <c r="CK164" s="382"/>
      <c r="CL164" s="382"/>
      <c r="CM164" s="382"/>
      <c r="CN164" s="382"/>
      <c r="CO164" s="382"/>
      <c r="CP164" s="382"/>
      <c r="CQ164" s="382"/>
      <c r="CR164" s="382"/>
      <c r="CS164" s="382"/>
      <c r="CT164" s="382"/>
      <c r="CU164" s="382"/>
      <c r="CV164" s="382"/>
      <c r="CW164" s="382"/>
      <c r="CX164" s="382"/>
      <c r="CY164" s="382"/>
      <c r="CZ164" s="382"/>
      <c r="DA164" s="382"/>
      <c r="DB164" s="382"/>
      <c r="DC164" s="382"/>
      <c r="DD164" s="382"/>
      <c r="DE164" s="382"/>
      <c r="DF164" s="382"/>
      <c r="DG164" s="382"/>
      <c r="DH164" s="382"/>
      <c r="DI164" s="382"/>
      <c r="DJ164" s="382"/>
      <c r="DK164" s="382"/>
      <c r="DL164" s="382"/>
      <c r="DM164" s="382"/>
      <c r="DN164" s="382"/>
      <c r="DO164" s="382"/>
      <c r="DP164" s="382"/>
      <c r="DQ164" s="382"/>
      <c r="DR164" s="382"/>
      <c r="DS164" s="382"/>
      <c r="DT164" s="382"/>
      <c r="DU164" s="382"/>
      <c r="DV164" s="382"/>
      <c r="DW164" s="382"/>
      <c r="DX164" s="382"/>
      <c r="DY164" s="382"/>
      <c r="DZ164" s="382"/>
      <c r="EA164" s="382"/>
      <c r="EB164" s="580"/>
    </row>
    <row r="165" spans="1:132" s="517" customFormat="1" hidden="1" x14ac:dyDescent="0.3">
      <c r="A165" s="580"/>
      <c r="B165" s="580"/>
      <c r="C165" s="580"/>
      <c r="D165" s="580"/>
      <c r="E165" s="646" t="s">
        <v>218</v>
      </c>
      <c r="F165" s="636" t="s">
        <v>123</v>
      </c>
      <c r="G165" s="636" t="s">
        <v>219</v>
      </c>
      <c r="H165" s="636" t="s">
        <v>220</v>
      </c>
      <c r="I165" s="637" t="s">
        <v>221</v>
      </c>
      <c r="J165" s="637"/>
      <c r="K165" s="637"/>
      <c r="L165" s="637"/>
      <c r="M165" s="637"/>
      <c r="N165" s="637"/>
      <c r="O165" s="580"/>
      <c r="P165" s="580"/>
      <c r="Q165" s="580"/>
      <c r="R165" s="580"/>
      <c r="S165" s="580"/>
      <c r="T165" s="580"/>
      <c r="U165" s="615"/>
      <c r="V165" s="615"/>
      <c r="W165" s="615"/>
      <c r="X165" s="615"/>
      <c r="Y165" s="615"/>
      <c r="Z165" s="580"/>
      <c r="AA165" s="382"/>
      <c r="AB165" s="382"/>
      <c r="AC165" s="382"/>
      <c r="AD165" s="382"/>
      <c r="AE165" s="382"/>
      <c r="AF165" s="382"/>
      <c r="AG165" s="382"/>
      <c r="AH165" s="382"/>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c r="BP165" s="382"/>
      <c r="BQ165" s="382"/>
      <c r="BR165" s="382"/>
      <c r="BS165" s="382"/>
      <c r="BT165" s="382"/>
      <c r="BU165" s="382"/>
      <c r="BV165" s="382"/>
      <c r="BW165" s="382"/>
      <c r="BX165" s="382"/>
      <c r="BY165" s="382"/>
      <c r="BZ165" s="382"/>
      <c r="CA165" s="382"/>
      <c r="CB165" s="382"/>
      <c r="CC165" s="382"/>
      <c r="CD165" s="382"/>
      <c r="CE165" s="382"/>
      <c r="CF165" s="382"/>
      <c r="CG165" s="382"/>
      <c r="CH165" s="382"/>
      <c r="CI165" s="382"/>
      <c r="CJ165" s="382"/>
      <c r="CK165" s="382"/>
      <c r="CL165" s="382"/>
      <c r="CM165" s="382"/>
      <c r="CN165" s="382"/>
      <c r="CO165" s="382"/>
      <c r="CP165" s="382"/>
      <c r="CQ165" s="382"/>
      <c r="CR165" s="382"/>
      <c r="CS165" s="382"/>
      <c r="CT165" s="382"/>
      <c r="CU165" s="382"/>
      <c r="CV165" s="382"/>
      <c r="CW165" s="382"/>
      <c r="CX165" s="382"/>
      <c r="CY165" s="382"/>
      <c r="CZ165" s="382"/>
      <c r="DA165" s="382"/>
      <c r="DB165" s="382"/>
      <c r="DC165" s="382"/>
      <c r="DD165" s="382"/>
      <c r="DE165" s="382"/>
      <c r="DF165" s="382"/>
      <c r="DG165" s="382"/>
      <c r="DH165" s="382"/>
      <c r="DI165" s="382"/>
      <c r="DJ165" s="382"/>
      <c r="DK165" s="382"/>
      <c r="DL165" s="382"/>
      <c r="DM165" s="382"/>
      <c r="DN165" s="382"/>
      <c r="DO165" s="382"/>
      <c r="DP165" s="382"/>
      <c r="DQ165" s="382"/>
      <c r="DR165" s="382"/>
      <c r="DS165" s="382"/>
      <c r="DT165" s="382"/>
      <c r="DU165" s="382"/>
      <c r="DV165" s="382"/>
      <c r="DW165" s="382"/>
      <c r="DX165" s="382"/>
      <c r="DY165" s="382"/>
      <c r="DZ165" s="382"/>
      <c r="EA165" s="382"/>
      <c r="EB165" s="580"/>
    </row>
    <row r="166" spans="1:132" s="517" customFormat="1" hidden="1" x14ac:dyDescent="0.3">
      <c r="A166" s="580"/>
      <c r="B166" s="580"/>
      <c r="C166" s="580"/>
      <c r="D166" s="580"/>
      <c r="E166" s="580"/>
      <c r="F166" s="641"/>
      <c r="G166" s="580"/>
      <c r="H166" s="580"/>
      <c r="I166" s="580"/>
      <c r="J166" s="580"/>
      <c r="K166" s="580"/>
      <c r="L166" s="580"/>
      <c r="M166" s="580"/>
      <c r="N166" s="580"/>
      <c r="O166" s="580"/>
      <c r="P166" s="580"/>
      <c r="Q166" s="580"/>
      <c r="R166" s="580"/>
      <c r="S166" s="580"/>
      <c r="T166" s="580"/>
      <c r="U166" s="580"/>
      <c r="V166" s="580"/>
      <c r="W166" s="580"/>
      <c r="X166" s="580"/>
      <c r="Y166" s="580"/>
      <c r="Z166" s="580"/>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382"/>
      <c r="DA166" s="382"/>
      <c r="DB166" s="382"/>
      <c r="DC166" s="382"/>
      <c r="DD166" s="382"/>
      <c r="DE166" s="382"/>
      <c r="DF166" s="382"/>
      <c r="DG166" s="382"/>
      <c r="DH166" s="382"/>
      <c r="DI166" s="382"/>
      <c r="DJ166" s="382"/>
      <c r="DK166" s="382"/>
      <c r="DL166" s="382"/>
      <c r="DM166" s="382"/>
      <c r="DN166" s="382"/>
      <c r="DO166" s="382"/>
      <c r="DP166" s="382"/>
      <c r="DQ166" s="382"/>
      <c r="DR166" s="382"/>
      <c r="DS166" s="382"/>
      <c r="DT166" s="382"/>
      <c r="DU166" s="382"/>
      <c r="DV166" s="382"/>
      <c r="DW166" s="382"/>
      <c r="DX166" s="382"/>
      <c r="DY166" s="382"/>
      <c r="DZ166" s="382"/>
      <c r="EA166" s="382"/>
      <c r="EB166" s="580"/>
    </row>
    <row r="167" spans="1:132" s="517" customFormat="1" hidden="1" x14ac:dyDescent="0.3">
      <c r="A167" s="580"/>
      <c r="B167" s="592" t="s">
        <v>222</v>
      </c>
      <c r="C167" s="594"/>
      <c r="D167" s="594"/>
      <c r="E167" s="594"/>
      <c r="F167" s="593" t="s">
        <v>55</v>
      </c>
      <c r="G167" s="580"/>
      <c r="H167" s="580"/>
      <c r="I167" s="580"/>
      <c r="J167" s="580"/>
      <c r="K167" s="580"/>
      <c r="L167" s="580"/>
      <c r="M167" s="580"/>
      <c r="N167" s="580"/>
      <c r="O167" s="580"/>
      <c r="P167" s="580"/>
      <c r="Q167" s="580"/>
      <c r="R167" s="580"/>
      <c r="S167" s="580"/>
      <c r="T167" s="580"/>
      <c r="U167" s="580"/>
      <c r="V167" s="580"/>
      <c r="W167" s="580"/>
      <c r="X167" s="580"/>
      <c r="Y167" s="580"/>
      <c r="Z167" s="580"/>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c r="BP167" s="382"/>
      <c r="BQ167" s="382"/>
      <c r="BR167" s="382"/>
      <c r="BS167" s="382"/>
      <c r="BT167" s="382"/>
      <c r="BU167" s="382"/>
      <c r="BV167" s="382"/>
      <c r="BW167" s="382"/>
      <c r="BX167" s="382"/>
      <c r="BY167" s="382"/>
      <c r="BZ167" s="382"/>
      <c r="CA167" s="382"/>
      <c r="CB167" s="382"/>
      <c r="CC167" s="382"/>
      <c r="CD167" s="382"/>
      <c r="CE167" s="382"/>
      <c r="CF167" s="382"/>
      <c r="CG167" s="382"/>
      <c r="CH167" s="382"/>
      <c r="CI167" s="382"/>
      <c r="CJ167" s="382"/>
      <c r="CK167" s="382"/>
      <c r="CL167" s="382"/>
      <c r="CM167" s="382"/>
      <c r="CN167" s="382"/>
      <c r="CO167" s="382"/>
      <c r="CP167" s="382"/>
      <c r="CQ167" s="382"/>
      <c r="CR167" s="382"/>
      <c r="CS167" s="382"/>
      <c r="CT167" s="382"/>
      <c r="CU167" s="382"/>
      <c r="CV167" s="382"/>
      <c r="CW167" s="382"/>
      <c r="CX167" s="382"/>
      <c r="CY167" s="382"/>
      <c r="CZ167" s="382"/>
      <c r="DA167" s="382"/>
      <c r="DB167" s="382"/>
      <c r="DC167" s="382"/>
      <c r="DD167" s="382"/>
      <c r="DE167" s="382"/>
      <c r="DF167" s="382"/>
      <c r="DG167" s="382"/>
      <c r="DH167" s="382"/>
      <c r="DI167" s="382"/>
      <c r="DJ167" s="382"/>
      <c r="DK167" s="382"/>
      <c r="DL167" s="382"/>
      <c r="DM167" s="382"/>
      <c r="DN167" s="382"/>
      <c r="DO167" s="382"/>
      <c r="DP167" s="382"/>
      <c r="DQ167" s="382"/>
      <c r="DR167" s="382"/>
      <c r="DS167" s="382"/>
      <c r="DT167" s="382"/>
      <c r="DU167" s="382"/>
      <c r="DV167" s="382"/>
      <c r="DW167" s="382"/>
      <c r="DX167" s="382"/>
      <c r="DY167" s="382"/>
      <c r="DZ167" s="382"/>
      <c r="EA167" s="382"/>
      <c r="EB167" s="580"/>
    </row>
    <row r="168" spans="1:132" s="517" customFormat="1" hidden="1" x14ac:dyDescent="0.3">
      <c r="A168" s="580"/>
      <c r="B168" s="580"/>
      <c r="C168" s="580"/>
      <c r="D168" s="580"/>
      <c r="E168" s="596" t="s">
        <v>223</v>
      </c>
      <c r="F168" s="647">
        <f>COUNTA(SectorsListed)</f>
        <v>0</v>
      </c>
      <c r="G168" s="586" t="s">
        <v>224</v>
      </c>
      <c r="H168" s="641"/>
      <c r="I168" s="641"/>
      <c r="J168" s="641"/>
      <c r="K168" s="641"/>
      <c r="L168" s="641"/>
      <c r="M168" s="641"/>
      <c r="N168" s="641"/>
      <c r="O168" s="580"/>
      <c r="P168" s="580"/>
      <c r="Q168" s="580"/>
      <c r="R168" s="580"/>
      <c r="S168" s="580"/>
      <c r="T168" s="580"/>
      <c r="U168" s="580"/>
      <c r="V168" s="580"/>
      <c r="W168" s="580"/>
      <c r="X168" s="580"/>
      <c r="Y168" s="580"/>
      <c r="Z168" s="580"/>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c r="BS168" s="382"/>
      <c r="BT168" s="382"/>
      <c r="BU168" s="382"/>
      <c r="BV168" s="382"/>
      <c r="BW168" s="382"/>
      <c r="BX168" s="382"/>
      <c r="BY168" s="382"/>
      <c r="BZ168" s="382"/>
      <c r="CA168" s="382"/>
      <c r="CB168" s="382"/>
      <c r="CC168" s="382"/>
      <c r="CD168" s="382"/>
      <c r="CE168" s="382"/>
      <c r="CF168" s="382"/>
      <c r="CG168" s="382"/>
      <c r="CH168" s="382"/>
      <c r="CI168" s="382"/>
      <c r="CJ168" s="382"/>
      <c r="CK168" s="382"/>
      <c r="CL168" s="382"/>
      <c r="CM168" s="382"/>
      <c r="CN168" s="382"/>
      <c r="CO168" s="382"/>
      <c r="CP168" s="382"/>
      <c r="CQ168" s="382"/>
      <c r="CR168" s="382"/>
      <c r="CS168" s="382"/>
      <c r="CT168" s="382"/>
      <c r="CU168" s="382"/>
      <c r="CV168" s="382"/>
      <c r="CW168" s="382"/>
      <c r="CX168" s="382"/>
      <c r="CY168" s="382"/>
      <c r="CZ168" s="382"/>
      <c r="DA168" s="382"/>
      <c r="DB168" s="382"/>
      <c r="DC168" s="382"/>
      <c r="DD168" s="382"/>
      <c r="DE168" s="382"/>
      <c r="DF168" s="382"/>
      <c r="DG168" s="382"/>
      <c r="DH168" s="382"/>
      <c r="DI168" s="382"/>
      <c r="DJ168" s="382"/>
      <c r="DK168" s="382"/>
      <c r="DL168" s="382"/>
      <c r="DM168" s="382"/>
      <c r="DN168" s="382"/>
      <c r="DO168" s="382"/>
      <c r="DP168" s="382"/>
      <c r="DQ168" s="382"/>
      <c r="DR168" s="382"/>
      <c r="DS168" s="382"/>
      <c r="DT168" s="382"/>
      <c r="DU168" s="382"/>
      <c r="DV168" s="382"/>
      <c r="DW168" s="382"/>
      <c r="DX168" s="382"/>
      <c r="DY168" s="382"/>
      <c r="DZ168" s="382"/>
      <c r="EA168" s="382"/>
      <c r="EB168" s="580"/>
    </row>
    <row r="169" spans="1:132" s="517" customFormat="1" hidden="1" x14ac:dyDescent="0.3">
      <c r="A169" s="580"/>
      <c r="B169" s="580"/>
      <c r="C169" s="580"/>
      <c r="D169" s="580"/>
      <c r="E169" s="596" t="s">
        <v>225</v>
      </c>
      <c r="F169" s="648" t="b">
        <f>AND(F168&gt;0,AreaAll=0,ISBLANK(AirMovement))</f>
        <v>0</v>
      </c>
      <c r="G169" s="649"/>
      <c r="H169" s="649"/>
      <c r="I169" s="649"/>
      <c r="J169" s="649"/>
      <c r="K169" s="649"/>
      <c r="L169" s="649"/>
      <c r="M169" s="649"/>
      <c r="N169" s="649"/>
      <c r="O169" s="649"/>
      <c r="P169" s="649"/>
      <c r="Q169" s="649"/>
      <c r="R169" s="649"/>
      <c r="S169" s="649"/>
      <c r="T169" s="649"/>
      <c r="U169" s="649"/>
      <c r="V169" s="649"/>
      <c r="W169" s="649"/>
      <c r="X169" s="649"/>
      <c r="Y169" s="649"/>
      <c r="Z169" s="649"/>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c r="BP169" s="382"/>
      <c r="BQ169" s="382"/>
      <c r="BR169" s="382"/>
      <c r="BS169" s="382"/>
      <c r="BT169" s="382"/>
      <c r="BU169" s="382"/>
      <c r="BV169" s="382"/>
      <c r="BW169" s="382"/>
      <c r="BX169" s="382"/>
      <c r="BY169" s="382"/>
      <c r="BZ169" s="382"/>
      <c r="CA169" s="382"/>
      <c r="CB169" s="382"/>
      <c r="CC169" s="382"/>
      <c r="CD169" s="382"/>
      <c r="CE169" s="382"/>
      <c r="CF169" s="382"/>
      <c r="CG169" s="382"/>
      <c r="CH169" s="382"/>
      <c r="CI169" s="382"/>
      <c r="CJ169" s="382"/>
      <c r="CK169" s="382"/>
      <c r="CL169" s="382"/>
      <c r="CM169" s="382"/>
      <c r="CN169" s="382"/>
      <c r="CO169" s="382"/>
      <c r="CP169" s="382"/>
      <c r="CQ169" s="382"/>
      <c r="CR169" s="382"/>
      <c r="CS169" s="382"/>
      <c r="CT169" s="382"/>
      <c r="CU169" s="382"/>
      <c r="CV169" s="382"/>
      <c r="CW169" s="382"/>
      <c r="CX169" s="382"/>
      <c r="CY169" s="382"/>
      <c r="CZ169" s="382"/>
      <c r="DA169" s="382"/>
      <c r="DB169" s="382"/>
      <c r="DC169" s="382"/>
      <c r="DD169" s="382"/>
      <c r="DE169" s="382"/>
      <c r="DF169" s="382"/>
      <c r="DG169" s="382"/>
      <c r="DH169" s="382"/>
      <c r="DI169" s="382"/>
      <c r="DJ169" s="382"/>
      <c r="DK169" s="382"/>
      <c r="DL169" s="382"/>
      <c r="DM169" s="382"/>
      <c r="DN169" s="382"/>
      <c r="DO169" s="382"/>
      <c r="DP169" s="382"/>
      <c r="DQ169" s="382"/>
      <c r="DR169" s="382"/>
      <c r="DS169" s="382"/>
      <c r="DT169" s="382"/>
      <c r="DU169" s="382"/>
      <c r="DV169" s="382"/>
      <c r="DW169" s="382"/>
      <c r="DX169" s="382"/>
      <c r="DY169" s="382"/>
      <c r="DZ169" s="382"/>
      <c r="EA169" s="382"/>
      <c r="EB169" s="580"/>
    </row>
    <row r="170" spans="1:132" s="517" customFormat="1" hidden="1" x14ac:dyDescent="0.3">
      <c r="A170" s="580"/>
      <c r="B170" s="580"/>
      <c r="C170" s="580"/>
      <c r="D170" s="580"/>
      <c r="E170" s="596" t="s">
        <v>226</v>
      </c>
      <c r="F170" s="648" t="b">
        <f>AND(F168&gt;0,AreaAll=0,AirMovement&gt;0)</f>
        <v>0</v>
      </c>
      <c r="G170" s="649"/>
      <c r="H170" s="649"/>
      <c r="I170" s="649"/>
      <c r="J170" s="649"/>
      <c r="K170" s="649"/>
      <c r="L170" s="649"/>
      <c r="M170" s="649"/>
      <c r="N170" s="649"/>
      <c r="O170" s="649"/>
      <c r="P170" s="649"/>
      <c r="Q170" s="649"/>
      <c r="R170" s="649"/>
      <c r="S170" s="649"/>
      <c r="T170" s="649"/>
      <c r="U170" s="649"/>
      <c r="V170" s="649"/>
      <c r="W170" s="649"/>
      <c r="X170" s="649"/>
      <c r="Y170" s="649"/>
      <c r="Z170" s="649"/>
      <c r="AA170" s="382"/>
      <c r="AB170" s="382"/>
      <c r="AC170" s="382"/>
      <c r="AD170" s="382"/>
      <c r="AE170" s="382"/>
      <c r="AF170" s="382"/>
      <c r="AG170" s="382"/>
      <c r="AH170" s="382"/>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c r="BP170" s="382"/>
      <c r="BQ170" s="382"/>
      <c r="BR170" s="382"/>
      <c r="BS170" s="382"/>
      <c r="BT170" s="382"/>
      <c r="BU170" s="382"/>
      <c r="BV170" s="382"/>
      <c r="BW170" s="382"/>
      <c r="BX170" s="382"/>
      <c r="BY170" s="382"/>
      <c r="BZ170" s="382"/>
      <c r="CA170" s="382"/>
      <c r="CB170" s="382"/>
      <c r="CC170" s="382"/>
      <c r="CD170" s="382"/>
      <c r="CE170" s="382"/>
      <c r="CF170" s="382"/>
      <c r="CG170" s="382"/>
      <c r="CH170" s="382"/>
      <c r="CI170" s="382"/>
      <c r="CJ170" s="382"/>
      <c r="CK170" s="382"/>
      <c r="CL170" s="382"/>
      <c r="CM170" s="382"/>
      <c r="CN170" s="382"/>
      <c r="CO170" s="382"/>
      <c r="CP170" s="382"/>
      <c r="CQ170" s="382"/>
      <c r="CR170" s="382"/>
      <c r="CS170" s="382"/>
      <c r="CT170" s="382"/>
      <c r="CU170" s="382"/>
      <c r="CV170" s="382"/>
      <c r="CW170" s="382"/>
      <c r="CX170" s="382"/>
      <c r="CY170" s="382"/>
      <c r="CZ170" s="382"/>
      <c r="DA170" s="382"/>
      <c r="DB170" s="382"/>
      <c r="DC170" s="382"/>
      <c r="DD170" s="382"/>
      <c r="DE170" s="382"/>
      <c r="DF170" s="382"/>
      <c r="DG170" s="382"/>
      <c r="DH170" s="382"/>
      <c r="DI170" s="382"/>
      <c r="DJ170" s="382"/>
      <c r="DK170" s="382"/>
      <c r="DL170" s="382"/>
      <c r="DM170" s="382"/>
      <c r="DN170" s="382"/>
      <c r="DO170" s="382"/>
      <c r="DP170" s="382"/>
      <c r="DQ170" s="382"/>
      <c r="DR170" s="382"/>
      <c r="DS170" s="382"/>
      <c r="DT170" s="382"/>
      <c r="DU170" s="382"/>
      <c r="DV170" s="382"/>
      <c r="DW170" s="382"/>
      <c r="DX170" s="382"/>
      <c r="DY170" s="382"/>
      <c r="DZ170" s="382"/>
      <c r="EA170" s="382"/>
      <c r="EB170" s="580"/>
    </row>
    <row r="171" spans="1:132" s="517" customFormat="1" hidden="1" x14ac:dyDescent="0.3">
      <c r="A171" s="580"/>
      <c r="B171" s="580"/>
      <c r="C171" s="580"/>
      <c r="D171" s="580"/>
      <c r="E171" s="596" t="s">
        <v>227</v>
      </c>
      <c r="F171" s="604" t="b">
        <f>AND(F168&gt;0,AreaAll=0,ISBLANK(AirMovement))</f>
        <v>0</v>
      </c>
      <c r="G171" s="649"/>
      <c r="H171" s="649"/>
      <c r="I171" s="649"/>
      <c r="J171" s="649"/>
      <c r="K171" s="649"/>
      <c r="L171" s="649"/>
      <c r="M171" s="649"/>
      <c r="N171" s="649"/>
      <c r="O171" s="649"/>
      <c r="P171" s="649"/>
      <c r="Q171" s="649"/>
      <c r="R171" s="649"/>
      <c r="S171" s="649"/>
      <c r="T171" s="649"/>
      <c r="U171" s="649"/>
      <c r="V171" s="649"/>
      <c r="W171" s="649"/>
      <c r="X171" s="649"/>
      <c r="Y171" s="649"/>
      <c r="Z171" s="649"/>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c r="BP171" s="382"/>
      <c r="BQ171" s="382"/>
      <c r="BR171" s="382"/>
      <c r="BS171" s="382"/>
      <c r="BT171" s="382"/>
      <c r="BU171" s="382"/>
      <c r="BV171" s="382"/>
      <c r="BW171" s="382"/>
      <c r="BX171" s="382"/>
      <c r="BY171" s="382"/>
      <c r="BZ171" s="382"/>
      <c r="CA171" s="382"/>
      <c r="CB171" s="382"/>
      <c r="CC171" s="382"/>
      <c r="CD171" s="382"/>
      <c r="CE171" s="382"/>
      <c r="CF171" s="382"/>
      <c r="CG171" s="382"/>
      <c r="CH171" s="382"/>
      <c r="CI171" s="382"/>
      <c r="CJ171" s="382"/>
      <c r="CK171" s="382"/>
      <c r="CL171" s="382"/>
      <c r="CM171" s="382"/>
      <c r="CN171" s="382"/>
      <c r="CO171" s="382"/>
      <c r="CP171" s="382"/>
      <c r="CQ171" s="382"/>
      <c r="CR171" s="382"/>
      <c r="CS171" s="382"/>
      <c r="CT171" s="382"/>
      <c r="CU171" s="382"/>
      <c r="CV171" s="382"/>
      <c r="CW171" s="382"/>
      <c r="CX171" s="382"/>
      <c r="CY171" s="382"/>
      <c r="CZ171" s="382"/>
      <c r="DA171" s="382"/>
      <c r="DB171" s="382"/>
      <c r="DC171" s="382"/>
      <c r="DD171" s="382"/>
      <c r="DE171" s="382"/>
      <c r="DF171" s="382"/>
      <c r="DG171" s="382"/>
      <c r="DH171" s="382"/>
      <c r="DI171" s="382"/>
      <c r="DJ171" s="382"/>
      <c r="DK171" s="382"/>
      <c r="DL171" s="382"/>
      <c r="DM171" s="382"/>
      <c r="DN171" s="382"/>
      <c r="DO171" s="382"/>
      <c r="DP171" s="382"/>
      <c r="DQ171" s="382"/>
      <c r="DR171" s="382"/>
      <c r="DS171" s="382"/>
      <c r="DT171" s="382"/>
      <c r="DU171" s="382"/>
      <c r="DV171" s="382"/>
      <c r="DW171" s="382"/>
      <c r="DX171" s="382"/>
      <c r="DY171" s="382"/>
      <c r="DZ171" s="382"/>
      <c r="EA171" s="382"/>
      <c r="EB171" s="580"/>
    </row>
    <row r="172" spans="1:132" s="517" customFormat="1" hidden="1" x14ac:dyDescent="0.3">
      <c r="A172" s="580"/>
      <c r="B172" s="580"/>
      <c r="C172" s="580"/>
      <c r="D172" s="580"/>
      <c r="E172" s="580"/>
      <c r="F172" s="641"/>
      <c r="G172" s="580"/>
      <c r="H172" s="580"/>
      <c r="I172" s="580"/>
      <c r="J172" s="580"/>
      <c r="K172" s="580"/>
      <c r="L172" s="580"/>
      <c r="M172" s="580"/>
      <c r="N172" s="580"/>
      <c r="O172" s="580"/>
      <c r="P172" s="580"/>
      <c r="Q172" s="580"/>
      <c r="R172" s="580"/>
      <c r="S172" s="580"/>
      <c r="T172" s="580"/>
      <c r="U172" s="580"/>
      <c r="V172" s="580"/>
      <c r="W172" s="580"/>
      <c r="X172" s="580"/>
      <c r="Y172" s="580"/>
      <c r="Z172" s="580"/>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c r="BP172" s="382"/>
      <c r="BQ172" s="382"/>
      <c r="BR172" s="382"/>
      <c r="BS172" s="382"/>
      <c r="BT172" s="382"/>
      <c r="BU172" s="382"/>
      <c r="BV172" s="382"/>
      <c r="BW172" s="382"/>
      <c r="BX172" s="382"/>
      <c r="BY172" s="382"/>
      <c r="BZ172" s="382"/>
      <c r="CA172" s="382"/>
      <c r="CB172" s="382"/>
      <c r="CC172" s="382"/>
      <c r="CD172" s="382"/>
      <c r="CE172" s="382"/>
      <c r="CF172" s="382"/>
      <c r="CG172" s="382"/>
      <c r="CH172" s="382"/>
      <c r="CI172" s="382"/>
      <c r="CJ172" s="382"/>
      <c r="CK172" s="382"/>
      <c r="CL172" s="382"/>
      <c r="CM172" s="382"/>
      <c r="CN172" s="382"/>
      <c r="CO172" s="382"/>
      <c r="CP172" s="382"/>
      <c r="CQ172" s="382"/>
      <c r="CR172" s="382"/>
      <c r="CS172" s="382"/>
      <c r="CT172" s="382"/>
      <c r="CU172" s="382"/>
      <c r="CV172" s="382"/>
      <c r="CW172" s="382"/>
      <c r="CX172" s="382"/>
      <c r="CY172" s="382"/>
      <c r="CZ172" s="382"/>
      <c r="DA172" s="382"/>
      <c r="DB172" s="382"/>
      <c r="DC172" s="382"/>
      <c r="DD172" s="382"/>
      <c r="DE172" s="382"/>
      <c r="DF172" s="382"/>
      <c r="DG172" s="382"/>
      <c r="DH172" s="382"/>
      <c r="DI172" s="382"/>
      <c r="DJ172" s="382"/>
      <c r="DK172" s="382"/>
      <c r="DL172" s="382"/>
      <c r="DM172" s="382"/>
      <c r="DN172" s="382"/>
      <c r="DO172" s="382"/>
      <c r="DP172" s="382"/>
      <c r="DQ172" s="382"/>
      <c r="DR172" s="382"/>
      <c r="DS172" s="382"/>
      <c r="DT172" s="382"/>
      <c r="DU172" s="382"/>
      <c r="DV172" s="382"/>
      <c r="DW172" s="382"/>
      <c r="DX172" s="382"/>
      <c r="DY172" s="382"/>
      <c r="DZ172" s="382"/>
      <c r="EA172" s="382"/>
      <c r="EB172" s="580"/>
    </row>
    <row r="173" spans="1:132" s="517" customFormat="1" hidden="1" x14ac:dyDescent="0.3">
      <c r="A173" s="580"/>
      <c r="B173" s="592" t="s">
        <v>228</v>
      </c>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c r="AA173" s="382"/>
      <c r="AB173" s="382"/>
      <c r="AC173" s="382"/>
      <c r="AD173" s="382"/>
      <c r="AE173" s="382"/>
      <c r="AF173" s="382"/>
      <c r="AG173" s="382"/>
      <c r="AH173" s="382"/>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c r="BP173" s="382"/>
      <c r="BQ173" s="382"/>
      <c r="BR173" s="382"/>
      <c r="BS173" s="382"/>
      <c r="BT173" s="382"/>
      <c r="BU173" s="382"/>
      <c r="BV173" s="382"/>
      <c r="BW173" s="382"/>
      <c r="BX173" s="382"/>
      <c r="BY173" s="382"/>
      <c r="BZ173" s="382"/>
      <c r="CA173" s="382"/>
      <c r="CB173" s="382"/>
      <c r="CC173" s="382"/>
      <c r="CD173" s="382"/>
      <c r="CE173" s="382"/>
      <c r="CF173" s="382"/>
      <c r="CG173" s="382"/>
      <c r="CH173" s="382"/>
      <c r="CI173" s="382"/>
      <c r="CJ173" s="382"/>
      <c r="CK173" s="382"/>
      <c r="CL173" s="382"/>
      <c r="CM173" s="382"/>
      <c r="CN173" s="382"/>
      <c r="CO173" s="382"/>
      <c r="CP173" s="382"/>
      <c r="CQ173" s="382"/>
      <c r="CR173" s="382"/>
      <c r="CS173" s="382"/>
      <c r="CT173" s="382"/>
      <c r="CU173" s="382"/>
      <c r="CV173" s="382"/>
      <c r="CW173" s="382"/>
      <c r="CX173" s="382"/>
      <c r="CY173" s="382"/>
      <c r="CZ173" s="382"/>
      <c r="DA173" s="382"/>
      <c r="DB173" s="382"/>
      <c r="DC173" s="382"/>
      <c r="DD173" s="382"/>
      <c r="DE173" s="382"/>
      <c r="DF173" s="382"/>
      <c r="DG173" s="382"/>
      <c r="DH173" s="382"/>
      <c r="DI173" s="382"/>
      <c r="DJ173" s="382"/>
      <c r="DK173" s="382"/>
      <c r="DL173" s="382"/>
      <c r="DM173" s="382"/>
      <c r="DN173" s="382"/>
      <c r="DO173" s="382"/>
      <c r="DP173" s="382"/>
      <c r="DQ173" s="382"/>
      <c r="DR173" s="382"/>
      <c r="DS173" s="382"/>
      <c r="DT173" s="382"/>
      <c r="DU173" s="382"/>
      <c r="DV173" s="382"/>
      <c r="DW173" s="382"/>
      <c r="DX173" s="382"/>
      <c r="DY173" s="382"/>
      <c r="DZ173" s="382"/>
      <c r="EA173" s="382"/>
      <c r="EB173" s="580"/>
    </row>
    <row r="174" spans="1:132" s="517" customFormat="1" hidden="1" x14ac:dyDescent="0.3">
      <c r="A174" s="580"/>
      <c r="B174" s="650" t="s">
        <v>229</v>
      </c>
      <c r="C174" s="580"/>
      <c r="D174" s="651"/>
      <c r="E174" s="650"/>
      <c r="F174" s="641"/>
      <c r="G174" s="580"/>
      <c r="H174" s="580"/>
      <c r="I174" s="580"/>
      <c r="J174" s="580"/>
      <c r="K174" s="580"/>
      <c r="L174" s="580"/>
      <c r="M174" s="580"/>
      <c r="N174" s="580"/>
      <c r="O174" s="652"/>
      <c r="P174" s="652"/>
      <c r="Q174" s="580"/>
      <c r="R174" s="580"/>
      <c r="S174" s="580"/>
      <c r="T174" s="580"/>
      <c r="U174" s="580"/>
      <c r="V174" s="580"/>
      <c r="W174" s="580"/>
      <c r="X174" s="580"/>
      <c r="Y174" s="580"/>
      <c r="Z174" s="580"/>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2"/>
      <c r="BZ174" s="382"/>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382"/>
      <c r="DA174" s="382"/>
      <c r="DB174" s="382"/>
      <c r="DC174" s="382"/>
      <c r="DD174" s="382"/>
      <c r="DE174" s="382"/>
      <c r="DF174" s="382"/>
      <c r="DG174" s="382"/>
      <c r="DH174" s="382"/>
      <c r="DI174" s="382"/>
      <c r="DJ174" s="382"/>
      <c r="DK174" s="382"/>
      <c r="DL174" s="382"/>
      <c r="DM174" s="382"/>
      <c r="DN174" s="382"/>
      <c r="DO174" s="382"/>
      <c r="DP174" s="382"/>
      <c r="DQ174" s="382"/>
      <c r="DR174" s="382"/>
      <c r="DS174" s="382"/>
      <c r="DT174" s="382"/>
      <c r="DU174" s="382"/>
      <c r="DV174" s="382"/>
      <c r="DW174" s="382"/>
      <c r="DX174" s="382"/>
      <c r="DY174" s="382"/>
      <c r="DZ174" s="382"/>
      <c r="EA174" s="382"/>
      <c r="EB174" s="580"/>
    </row>
    <row r="175" spans="1:132" s="517" customFormat="1" hidden="1" x14ac:dyDescent="0.3">
      <c r="A175" s="580"/>
      <c r="B175" s="580"/>
      <c r="C175" s="580"/>
      <c r="D175" s="651">
        <f>COUNTIF(G182:G192,Zone)</f>
        <v>0</v>
      </c>
      <c r="E175" s="650" t="s">
        <v>230</v>
      </c>
      <c r="F175" s="641"/>
      <c r="G175" s="580"/>
      <c r="H175" s="580"/>
      <c r="I175" s="580"/>
      <c r="J175" s="580"/>
      <c r="K175" s="580"/>
      <c r="L175" s="580"/>
      <c r="M175" s="580"/>
      <c r="N175" s="580"/>
      <c r="O175" s="580"/>
      <c r="P175" s="580"/>
      <c r="Q175" s="580"/>
      <c r="R175" s="580"/>
      <c r="S175" s="580"/>
      <c r="T175" s="580"/>
      <c r="U175" s="580"/>
      <c r="V175" s="580"/>
      <c r="W175" s="580"/>
      <c r="X175" s="580"/>
      <c r="Y175" s="580"/>
      <c r="Z175" s="580"/>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c r="BP175" s="382"/>
      <c r="BQ175" s="382"/>
      <c r="BR175" s="382"/>
      <c r="BS175" s="382"/>
      <c r="BT175" s="382"/>
      <c r="BU175" s="382"/>
      <c r="BV175" s="382"/>
      <c r="BW175" s="382"/>
      <c r="BX175" s="382"/>
      <c r="BY175" s="382"/>
      <c r="BZ175" s="382"/>
      <c r="CA175" s="382"/>
      <c r="CB175" s="382"/>
      <c r="CC175" s="382"/>
      <c r="CD175" s="382"/>
      <c r="CE175" s="382"/>
      <c r="CF175" s="382"/>
      <c r="CG175" s="382"/>
      <c r="CH175" s="382"/>
      <c r="CI175" s="382"/>
      <c r="CJ175" s="382"/>
      <c r="CK175" s="382"/>
      <c r="CL175" s="382"/>
      <c r="CM175" s="382"/>
      <c r="CN175" s="382"/>
      <c r="CO175" s="382"/>
      <c r="CP175" s="382"/>
      <c r="CQ175" s="382"/>
      <c r="CR175" s="382"/>
      <c r="CS175" s="382"/>
      <c r="CT175" s="382"/>
      <c r="CU175" s="382"/>
      <c r="CV175" s="382"/>
      <c r="CW175" s="382"/>
      <c r="CX175" s="382"/>
      <c r="CY175" s="382"/>
      <c r="CZ175" s="382"/>
      <c r="DA175" s="382"/>
      <c r="DB175" s="382"/>
      <c r="DC175" s="382"/>
      <c r="DD175" s="382"/>
      <c r="DE175" s="382"/>
      <c r="DF175" s="382"/>
      <c r="DG175" s="382"/>
      <c r="DH175" s="382"/>
      <c r="DI175" s="382"/>
      <c r="DJ175" s="382"/>
      <c r="DK175" s="382"/>
      <c r="DL175" s="382"/>
      <c r="DM175" s="382"/>
      <c r="DN175" s="382"/>
      <c r="DO175" s="382"/>
      <c r="DP175" s="382"/>
      <c r="DQ175" s="382"/>
      <c r="DR175" s="382"/>
      <c r="DS175" s="382"/>
      <c r="DT175" s="382"/>
      <c r="DU175" s="382"/>
      <c r="DV175" s="382"/>
      <c r="DW175" s="382"/>
      <c r="DX175" s="382"/>
      <c r="DY175" s="382"/>
      <c r="DZ175" s="382"/>
      <c r="EA175" s="382"/>
      <c r="EB175" s="580"/>
    </row>
    <row r="176" spans="1:132" s="517" customFormat="1" hidden="1" x14ac:dyDescent="0.3">
      <c r="A176" s="580"/>
      <c r="B176" s="580"/>
      <c r="C176" s="580"/>
      <c r="D176" s="653">
        <v>0</v>
      </c>
      <c r="E176" s="654" t="s">
        <v>231</v>
      </c>
      <c r="F176" s="641"/>
      <c r="G176" s="580"/>
      <c r="H176" s="580"/>
      <c r="I176" s="586" t="s">
        <v>232</v>
      </c>
      <c r="J176" s="586"/>
      <c r="K176" s="586"/>
      <c r="L176" s="586"/>
      <c r="M176" s="586"/>
      <c r="N176" s="586"/>
      <c r="O176" s="580"/>
      <c r="P176" s="580"/>
      <c r="Q176" s="580"/>
      <c r="R176" s="580"/>
      <c r="S176" s="580"/>
      <c r="T176" s="580"/>
      <c r="U176" s="580"/>
      <c r="V176" s="580"/>
      <c r="W176" s="580"/>
      <c r="X176" s="580"/>
      <c r="Y176" s="580"/>
      <c r="Z176" s="580"/>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c r="BP176" s="382"/>
      <c r="BQ176" s="382"/>
      <c r="BR176" s="382"/>
      <c r="BS176" s="382"/>
      <c r="BT176" s="382"/>
      <c r="BU176" s="382"/>
      <c r="BV176" s="382"/>
      <c r="BW176" s="382"/>
      <c r="BX176" s="382"/>
      <c r="BY176" s="382"/>
      <c r="BZ176" s="382"/>
      <c r="CA176" s="382"/>
      <c r="CB176" s="382"/>
      <c r="CC176" s="382"/>
      <c r="CD176" s="382"/>
      <c r="CE176" s="382"/>
      <c r="CF176" s="382"/>
      <c r="CG176" s="382"/>
      <c r="CH176" s="382"/>
      <c r="CI176" s="382"/>
      <c r="CJ176" s="382"/>
      <c r="CK176" s="382"/>
      <c r="CL176" s="382"/>
      <c r="CM176" s="382"/>
      <c r="CN176" s="382"/>
      <c r="CO176" s="382"/>
      <c r="CP176" s="382"/>
      <c r="CQ176" s="382"/>
      <c r="CR176" s="382"/>
      <c r="CS176" s="382"/>
      <c r="CT176" s="382"/>
      <c r="CU176" s="382"/>
      <c r="CV176" s="382"/>
      <c r="CW176" s="382"/>
      <c r="CX176" s="382"/>
      <c r="CY176" s="382"/>
      <c r="CZ176" s="382"/>
      <c r="DA176" s="382"/>
      <c r="DB176" s="382"/>
      <c r="DC176" s="382"/>
      <c r="DD176" s="382"/>
      <c r="DE176" s="382"/>
      <c r="DF176" s="382"/>
      <c r="DG176" s="382"/>
      <c r="DH176" s="382"/>
      <c r="DI176" s="382"/>
      <c r="DJ176" s="382"/>
      <c r="DK176" s="382"/>
      <c r="DL176" s="382"/>
      <c r="DM176" s="382"/>
      <c r="DN176" s="382"/>
      <c r="DO176" s="382"/>
      <c r="DP176" s="382"/>
      <c r="DQ176" s="382"/>
      <c r="DR176" s="382"/>
      <c r="DS176" s="382"/>
      <c r="DT176" s="382"/>
      <c r="DU176" s="382"/>
      <c r="DV176" s="382"/>
      <c r="DW176" s="382"/>
      <c r="DX176" s="382"/>
      <c r="DY176" s="382"/>
      <c r="DZ176" s="382"/>
      <c r="EA176" s="382"/>
      <c r="EB176" s="580"/>
    </row>
    <row r="177" spans="1:132" s="517" customFormat="1" hidden="1" x14ac:dyDescent="0.3">
      <c r="A177" s="580"/>
      <c r="B177" s="580"/>
      <c r="C177" s="580"/>
      <c r="D177" s="653">
        <v>1</v>
      </c>
      <c r="E177" s="655" t="str">
        <f>IF(D175=0,"",INDEX(F$182:F$192,MATCH(Zone,G$182:G$192,0),1))</f>
        <v/>
      </c>
      <c r="F177" s="641"/>
      <c r="G177" s="580"/>
      <c r="H177" s="580"/>
      <c r="I177" s="580"/>
      <c r="J177" s="580"/>
      <c r="K177" s="580"/>
      <c r="L177" s="580"/>
      <c r="M177" s="580"/>
      <c r="N177" s="580"/>
      <c r="O177" s="580"/>
      <c r="P177" s="580"/>
      <c r="Q177" s="580"/>
      <c r="R177" s="580"/>
      <c r="S177" s="580"/>
      <c r="T177" s="580"/>
      <c r="U177" s="580"/>
      <c r="V177" s="580"/>
      <c r="W177" s="580"/>
      <c r="X177" s="580"/>
      <c r="Y177" s="580"/>
      <c r="Z177" s="580"/>
      <c r="AA177" s="382"/>
      <c r="AB177" s="382"/>
      <c r="AC177" s="382"/>
      <c r="AD177" s="382"/>
      <c r="AE177" s="382"/>
      <c r="AF177" s="382"/>
      <c r="AG177" s="382"/>
      <c r="AH177" s="382"/>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c r="BP177" s="382"/>
      <c r="BQ177" s="382"/>
      <c r="BR177" s="382"/>
      <c r="BS177" s="382"/>
      <c r="BT177" s="382"/>
      <c r="BU177" s="382"/>
      <c r="BV177" s="382"/>
      <c r="BW177" s="382"/>
      <c r="BX177" s="382"/>
      <c r="BY177" s="382"/>
      <c r="BZ177" s="382"/>
      <c r="CA177" s="382"/>
      <c r="CB177" s="382"/>
      <c r="CC177" s="382"/>
      <c r="CD177" s="382"/>
      <c r="CE177" s="382"/>
      <c r="CF177" s="382"/>
      <c r="CG177" s="382"/>
      <c r="CH177" s="382"/>
      <c r="CI177" s="382"/>
      <c r="CJ177" s="382"/>
      <c r="CK177" s="382"/>
      <c r="CL177" s="382"/>
      <c r="CM177" s="382"/>
      <c r="CN177" s="382"/>
      <c r="CO177" s="382"/>
      <c r="CP177" s="382"/>
      <c r="CQ177" s="382"/>
      <c r="CR177" s="382"/>
      <c r="CS177" s="382"/>
      <c r="CT177" s="382"/>
      <c r="CU177" s="382"/>
      <c r="CV177" s="382"/>
      <c r="CW177" s="382"/>
      <c r="CX177" s="382"/>
      <c r="CY177" s="382"/>
      <c r="CZ177" s="382"/>
      <c r="DA177" s="382"/>
      <c r="DB177" s="382"/>
      <c r="DC177" s="382"/>
      <c r="DD177" s="382"/>
      <c r="DE177" s="382"/>
      <c r="DF177" s="382"/>
      <c r="DG177" s="382"/>
      <c r="DH177" s="382"/>
      <c r="DI177" s="382"/>
      <c r="DJ177" s="382"/>
      <c r="DK177" s="382"/>
      <c r="DL177" s="382"/>
      <c r="DM177" s="382"/>
      <c r="DN177" s="382"/>
      <c r="DO177" s="382"/>
      <c r="DP177" s="382"/>
      <c r="DQ177" s="382"/>
      <c r="DR177" s="382"/>
      <c r="DS177" s="382"/>
      <c r="DT177" s="382"/>
      <c r="DU177" s="382"/>
      <c r="DV177" s="382"/>
      <c r="DW177" s="382"/>
      <c r="DX177" s="382"/>
      <c r="DY177" s="382"/>
      <c r="DZ177" s="382"/>
      <c r="EA177" s="382"/>
      <c r="EB177" s="580"/>
    </row>
    <row r="178" spans="1:132" s="517" customFormat="1" hidden="1" x14ac:dyDescent="0.3">
      <c r="A178" s="580"/>
      <c r="B178" s="580"/>
      <c r="C178" s="580"/>
      <c r="D178" s="653">
        <v>2</v>
      </c>
      <c r="E178" s="655" t="str">
        <f>IF(COUNTIF(G$182:G$192,Zone)=2,INDEX(F$182:F$192,MATCH(Zone,G$182:G$192,0)+1,1),"")</f>
        <v/>
      </c>
      <c r="F178" s="641"/>
      <c r="G178" s="580"/>
      <c r="H178" s="580"/>
      <c r="I178" s="580"/>
      <c r="J178" s="580"/>
      <c r="K178" s="580"/>
      <c r="L178" s="580"/>
      <c r="M178" s="580"/>
      <c r="N178" s="580"/>
      <c r="O178" s="580"/>
      <c r="P178" s="580"/>
      <c r="Q178" s="580"/>
      <c r="R178" s="580"/>
      <c r="S178" s="580"/>
      <c r="T178" s="580"/>
      <c r="U178" s="580"/>
      <c r="V178" s="580"/>
      <c r="W178" s="580"/>
      <c r="X178" s="580"/>
      <c r="Y178" s="580"/>
      <c r="Z178" s="580"/>
      <c r="AA178" s="382"/>
      <c r="AB178" s="382"/>
      <c r="AC178" s="382"/>
      <c r="AD178" s="382"/>
      <c r="AE178" s="382"/>
      <c r="AF178" s="382"/>
      <c r="AG178" s="382"/>
      <c r="AH178" s="382"/>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c r="BP178" s="382"/>
      <c r="BQ178" s="382"/>
      <c r="BR178" s="382"/>
      <c r="BS178" s="382"/>
      <c r="BT178" s="382"/>
      <c r="BU178" s="382"/>
      <c r="BV178" s="382"/>
      <c r="BW178" s="382"/>
      <c r="BX178" s="382"/>
      <c r="BY178" s="382"/>
      <c r="BZ178" s="382"/>
      <c r="CA178" s="382"/>
      <c r="CB178" s="382"/>
      <c r="CC178" s="382"/>
      <c r="CD178" s="382"/>
      <c r="CE178" s="382"/>
      <c r="CF178" s="382"/>
      <c r="CG178" s="382"/>
      <c r="CH178" s="382"/>
      <c r="CI178" s="382"/>
      <c r="CJ178" s="382"/>
      <c r="CK178" s="382"/>
      <c r="CL178" s="382"/>
      <c r="CM178" s="382"/>
      <c r="CN178" s="382"/>
      <c r="CO178" s="382"/>
      <c r="CP178" s="382"/>
      <c r="CQ178" s="382"/>
      <c r="CR178" s="382"/>
      <c r="CS178" s="382"/>
      <c r="CT178" s="382"/>
      <c r="CU178" s="382"/>
      <c r="CV178" s="382"/>
      <c r="CW178" s="382"/>
      <c r="CX178" s="382"/>
      <c r="CY178" s="382"/>
      <c r="CZ178" s="382"/>
      <c r="DA178" s="382"/>
      <c r="DB178" s="382"/>
      <c r="DC178" s="382"/>
      <c r="DD178" s="382"/>
      <c r="DE178" s="382"/>
      <c r="DF178" s="382"/>
      <c r="DG178" s="382"/>
      <c r="DH178" s="382"/>
      <c r="DI178" s="382"/>
      <c r="DJ178" s="382"/>
      <c r="DK178" s="382"/>
      <c r="DL178" s="382"/>
      <c r="DM178" s="382"/>
      <c r="DN178" s="382"/>
      <c r="DO178" s="382"/>
      <c r="DP178" s="382"/>
      <c r="DQ178" s="382"/>
      <c r="DR178" s="382"/>
      <c r="DS178" s="382"/>
      <c r="DT178" s="382"/>
      <c r="DU178" s="382"/>
      <c r="DV178" s="382"/>
      <c r="DW178" s="382"/>
      <c r="DX178" s="382"/>
      <c r="DY178" s="382"/>
      <c r="DZ178" s="382"/>
      <c r="EA178" s="382"/>
      <c r="EB178" s="580"/>
    </row>
    <row r="179" spans="1:132" s="517" customFormat="1" hidden="1" x14ac:dyDescent="0.3">
      <c r="A179" s="580"/>
      <c r="B179" s="580"/>
      <c r="C179" s="580"/>
      <c r="D179" s="580"/>
      <c r="E179" s="580"/>
      <c r="F179" s="641"/>
      <c r="G179" s="580"/>
      <c r="H179" s="580"/>
      <c r="I179" s="580"/>
      <c r="J179" s="580"/>
      <c r="K179" s="580"/>
      <c r="L179" s="580"/>
      <c r="M179" s="580"/>
      <c r="N179" s="580"/>
      <c r="O179" s="580"/>
      <c r="P179" s="580"/>
      <c r="Q179" s="580"/>
      <c r="R179" s="580"/>
      <c r="S179" s="580"/>
      <c r="T179" s="580"/>
      <c r="U179" s="580"/>
      <c r="V179" s="580"/>
      <c r="W179" s="580"/>
      <c r="X179" s="580"/>
      <c r="Y179" s="580"/>
      <c r="Z179" s="580"/>
      <c r="AA179" s="382"/>
      <c r="AB179" s="382"/>
      <c r="AC179" s="382"/>
      <c r="AD179" s="382"/>
      <c r="AE179" s="382"/>
      <c r="AF179" s="382"/>
      <c r="AG179" s="382"/>
      <c r="AH179" s="382"/>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c r="BP179" s="382"/>
      <c r="BQ179" s="382"/>
      <c r="BR179" s="382"/>
      <c r="BS179" s="382"/>
      <c r="BT179" s="382"/>
      <c r="BU179" s="382"/>
      <c r="BV179" s="382"/>
      <c r="BW179" s="382"/>
      <c r="BX179" s="382"/>
      <c r="BY179" s="382"/>
      <c r="BZ179" s="382"/>
      <c r="CA179" s="382"/>
      <c r="CB179" s="382"/>
      <c r="CC179" s="382"/>
      <c r="CD179" s="382"/>
      <c r="CE179" s="382"/>
      <c r="CF179" s="382"/>
      <c r="CG179" s="382"/>
      <c r="CH179" s="382"/>
      <c r="CI179" s="382"/>
      <c r="CJ179" s="382"/>
      <c r="CK179" s="382"/>
      <c r="CL179" s="382"/>
      <c r="CM179" s="382"/>
      <c r="CN179" s="382"/>
      <c r="CO179" s="382"/>
      <c r="CP179" s="382"/>
      <c r="CQ179" s="382"/>
      <c r="CR179" s="382"/>
      <c r="CS179" s="382"/>
      <c r="CT179" s="382"/>
      <c r="CU179" s="382"/>
      <c r="CV179" s="382"/>
      <c r="CW179" s="382"/>
      <c r="CX179" s="382"/>
      <c r="CY179" s="382"/>
      <c r="CZ179" s="382"/>
      <c r="DA179" s="382"/>
      <c r="DB179" s="382"/>
      <c r="DC179" s="382"/>
      <c r="DD179" s="382"/>
      <c r="DE179" s="382"/>
      <c r="DF179" s="382"/>
      <c r="DG179" s="382"/>
      <c r="DH179" s="382"/>
      <c r="DI179" s="382"/>
      <c r="DJ179" s="382"/>
      <c r="DK179" s="382"/>
      <c r="DL179" s="382"/>
      <c r="DM179" s="382"/>
      <c r="DN179" s="382"/>
      <c r="DO179" s="382"/>
      <c r="DP179" s="382"/>
      <c r="DQ179" s="382"/>
      <c r="DR179" s="382"/>
      <c r="DS179" s="382"/>
      <c r="DT179" s="382"/>
      <c r="DU179" s="382"/>
      <c r="DV179" s="382"/>
      <c r="DW179" s="382"/>
      <c r="DX179" s="382"/>
      <c r="DY179" s="382"/>
      <c r="DZ179" s="382"/>
      <c r="EA179" s="382"/>
      <c r="EB179" s="580"/>
    </row>
    <row r="180" spans="1:132" s="517" customFormat="1" hidden="1" x14ac:dyDescent="0.3">
      <c r="A180" s="580"/>
      <c r="B180" s="580"/>
      <c r="C180" s="580"/>
      <c r="D180" s="580"/>
      <c r="E180" s="580"/>
      <c r="F180" s="593" t="s">
        <v>233</v>
      </c>
      <c r="G180" s="593" t="s">
        <v>234</v>
      </c>
      <c r="H180" s="593" t="s">
        <v>235</v>
      </c>
      <c r="I180" s="593" t="s">
        <v>236</v>
      </c>
      <c r="J180" s="593"/>
      <c r="K180" s="593"/>
      <c r="L180" s="593"/>
      <c r="M180" s="593"/>
      <c r="N180" s="593"/>
      <c r="O180" s="656" t="s">
        <v>237</v>
      </c>
      <c r="P180" s="580"/>
      <c r="Q180" s="580"/>
      <c r="R180" s="580"/>
      <c r="S180" s="580"/>
      <c r="T180" s="580"/>
      <c r="U180" s="580"/>
      <c r="V180" s="580"/>
      <c r="W180" s="580"/>
      <c r="X180" s="580"/>
      <c r="Y180" s="580"/>
      <c r="Z180" s="580"/>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c r="BP180" s="382"/>
      <c r="BQ180" s="382"/>
      <c r="BR180" s="382"/>
      <c r="BS180" s="382"/>
      <c r="BT180" s="382"/>
      <c r="BU180" s="382"/>
      <c r="BV180" s="382"/>
      <c r="BW180" s="382"/>
      <c r="BX180" s="382"/>
      <c r="BY180" s="382"/>
      <c r="BZ180" s="382"/>
      <c r="CA180" s="382"/>
      <c r="CB180" s="382"/>
      <c r="CC180" s="382"/>
      <c r="CD180" s="382"/>
      <c r="CE180" s="382"/>
      <c r="CF180" s="382"/>
      <c r="CG180" s="382"/>
      <c r="CH180" s="382"/>
      <c r="CI180" s="382"/>
      <c r="CJ180" s="382"/>
      <c r="CK180" s="382"/>
      <c r="CL180" s="382"/>
      <c r="CM180" s="382"/>
      <c r="CN180" s="382"/>
      <c r="CO180" s="382"/>
      <c r="CP180" s="382"/>
      <c r="CQ180" s="382"/>
      <c r="CR180" s="382"/>
      <c r="CS180" s="382"/>
      <c r="CT180" s="382"/>
      <c r="CU180" s="382"/>
      <c r="CV180" s="382"/>
      <c r="CW180" s="382"/>
      <c r="CX180" s="382"/>
      <c r="CY180" s="382"/>
      <c r="CZ180" s="382"/>
      <c r="DA180" s="382"/>
      <c r="DB180" s="382"/>
      <c r="DC180" s="382"/>
      <c r="DD180" s="382"/>
      <c r="DE180" s="382"/>
      <c r="DF180" s="382"/>
      <c r="DG180" s="382"/>
      <c r="DH180" s="382"/>
      <c r="DI180" s="382"/>
      <c r="DJ180" s="382"/>
      <c r="DK180" s="382"/>
      <c r="DL180" s="382"/>
      <c r="DM180" s="382"/>
      <c r="DN180" s="382"/>
      <c r="DO180" s="382"/>
      <c r="DP180" s="382"/>
      <c r="DQ180" s="382"/>
      <c r="DR180" s="382"/>
      <c r="DS180" s="382"/>
      <c r="DT180" s="382"/>
      <c r="DU180" s="382"/>
      <c r="DV180" s="382"/>
      <c r="DW180" s="382"/>
      <c r="DX180" s="382"/>
      <c r="DY180" s="382"/>
      <c r="DZ180" s="382"/>
      <c r="EA180" s="382"/>
      <c r="EB180" s="580"/>
    </row>
    <row r="181" spans="1:132" s="517" customFormat="1" hidden="1" x14ac:dyDescent="0.3">
      <c r="A181" s="580"/>
      <c r="B181" s="580"/>
      <c r="C181" s="580"/>
      <c r="D181" s="580"/>
      <c r="E181" s="580"/>
      <c r="F181" s="657" t="str">
        <f>NoWallConcession</f>
        <v>No wall insulation concession used</v>
      </c>
      <c r="G181" s="652"/>
      <c r="H181" s="652"/>
      <c r="I181" s="652"/>
      <c r="J181" s="652"/>
      <c r="K181" s="652"/>
      <c r="L181" s="652"/>
      <c r="M181" s="652"/>
      <c r="N181" s="652"/>
      <c r="O181" s="658"/>
      <c r="P181" s="580"/>
      <c r="Q181" s="580"/>
      <c r="R181" s="580"/>
      <c r="S181" s="580"/>
      <c r="T181" s="580"/>
      <c r="U181" s="580"/>
      <c r="V181" s="580"/>
      <c r="W181" s="580"/>
      <c r="X181" s="580"/>
      <c r="Y181" s="580"/>
      <c r="Z181" s="580"/>
      <c r="AA181" s="382"/>
      <c r="AB181" s="382"/>
      <c r="AC181" s="382"/>
      <c r="AD181" s="382"/>
      <c r="AE181" s="382"/>
      <c r="AF181" s="382"/>
      <c r="AG181" s="382"/>
      <c r="AH181" s="382"/>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c r="BP181" s="382"/>
      <c r="BQ181" s="382"/>
      <c r="BR181" s="382"/>
      <c r="BS181" s="382"/>
      <c r="BT181" s="382"/>
      <c r="BU181" s="382"/>
      <c r="BV181" s="382"/>
      <c r="BW181" s="382"/>
      <c r="BX181" s="382"/>
      <c r="BY181" s="382"/>
      <c r="BZ181" s="382"/>
      <c r="CA181" s="382"/>
      <c r="CB181" s="382"/>
      <c r="CC181" s="382"/>
      <c r="CD181" s="382"/>
      <c r="CE181" s="382"/>
      <c r="CF181" s="382"/>
      <c r="CG181" s="382"/>
      <c r="CH181" s="382"/>
      <c r="CI181" s="382"/>
      <c r="CJ181" s="382"/>
      <c r="CK181" s="382"/>
      <c r="CL181" s="382"/>
      <c r="CM181" s="382"/>
      <c r="CN181" s="382"/>
      <c r="CO181" s="382"/>
      <c r="CP181" s="382"/>
      <c r="CQ181" s="382"/>
      <c r="CR181" s="382"/>
      <c r="CS181" s="382"/>
      <c r="CT181" s="382"/>
      <c r="CU181" s="382"/>
      <c r="CV181" s="382"/>
      <c r="CW181" s="382"/>
      <c r="CX181" s="382"/>
      <c r="CY181" s="382"/>
      <c r="CZ181" s="382"/>
      <c r="DA181" s="382"/>
      <c r="DB181" s="382"/>
      <c r="DC181" s="382"/>
      <c r="DD181" s="382"/>
      <c r="DE181" s="382"/>
      <c r="DF181" s="382"/>
      <c r="DG181" s="382"/>
      <c r="DH181" s="382"/>
      <c r="DI181" s="382"/>
      <c r="DJ181" s="382"/>
      <c r="DK181" s="382"/>
      <c r="DL181" s="382"/>
      <c r="DM181" s="382"/>
      <c r="DN181" s="382"/>
      <c r="DO181" s="382"/>
      <c r="DP181" s="382"/>
      <c r="DQ181" s="382"/>
      <c r="DR181" s="382"/>
      <c r="DS181" s="382"/>
      <c r="DT181" s="382"/>
      <c r="DU181" s="382"/>
      <c r="DV181" s="382"/>
      <c r="DW181" s="382"/>
      <c r="DX181" s="382"/>
      <c r="DY181" s="382"/>
      <c r="DZ181" s="382"/>
      <c r="EA181" s="382"/>
      <c r="EB181" s="580"/>
    </row>
    <row r="182" spans="1:132" s="517" customFormat="1" hidden="1" x14ac:dyDescent="0.3">
      <c r="A182" s="580"/>
      <c r="B182" s="580"/>
      <c r="C182" s="580"/>
      <c r="D182" s="580"/>
      <c r="E182" s="580"/>
      <c r="F182" s="596" t="s">
        <v>238</v>
      </c>
      <c r="G182" s="580">
        <v>1</v>
      </c>
      <c r="H182" s="659"/>
      <c r="I182" s="659">
        <v>0</v>
      </c>
      <c r="J182" s="659"/>
      <c r="K182" s="659"/>
      <c r="L182" s="659"/>
      <c r="M182" s="659"/>
      <c r="N182" s="659"/>
      <c r="O182" s="580" t="s">
        <v>239</v>
      </c>
      <c r="P182" s="580"/>
      <c r="Q182" s="580"/>
      <c r="R182" s="580"/>
      <c r="S182" s="580"/>
      <c r="T182" s="580"/>
      <c r="U182" s="580"/>
      <c r="V182" s="580"/>
      <c r="W182" s="580"/>
      <c r="X182" s="580"/>
      <c r="Y182" s="580"/>
      <c r="Z182" s="580"/>
      <c r="AA182" s="382"/>
      <c r="AB182" s="382"/>
      <c r="AC182" s="382"/>
      <c r="AD182" s="382"/>
      <c r="AE182" s="382"/>
      <c r="AF182" s="382"/>
      <c r="AG182" s="382"/>
      <c r="AH182" s="382"/>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c r="BP182" s="382"/>
      <c r="BQ182" s="382"/>
      <c r="BR182" s="382"/>
      <c r="BS182" s="382"/>
      <c r="BT182" s="382"/>
      <c r="BU182" s="382"/>
      <c r="BV182" s="382"/>
      <c r="BW182" s="382"/>
      <c r="BX182" s="382"/>
      <c r="BY182" s="382"/>
      <c r="BZ182" s="382"/>
      <c r="CA182" s="382"/>
      <c r="CB182" s="382"/>
      <c r="CC182" s="382"/>
      <c r="CD182" s="382"/>
      <c r="CE182" s="382"/>
      <c r="CF182" s="382"/>
      <c r="CG182" s="382"/>
      <c r="CH182" s="382"/>
      <c r="CI182" s="382"/>
      <c r="CJ182" s="382"/>
      <c r="CK182" s="382"/>
      <c r="CL182" s="382"/>
      <c r="CM182" s="382"/>
      <c r="CN182" s="382"/>
      <c r="CO182" s="382"/>
      <c r="CP182" s="382"/>
      <c r="CQ182" s="382"/>
      <c r="CR182" s="382"/>
      <c r="CS182" s="382"/>
      <c r="CT182" s="382"/>
      <c r="CU182" s="382"/>
      <c r="CV182" s="382"/>
      <c r="CW182" s="382"/>
      <c r="CX182" s="382"/>
      <c r="CY182" s="382"/>
      <c r="CZ182" s="382"/>
      <c r="DA182" s="382"/>
      <c r="DB182" s="382"/>
      <c r="DC182" s="382"/>
      <c r="DD182" s="382"/>
      <c r="DE182" s="382"/>
      <c r="DF182" s="382"/>
      <c r="DG182" s="382"/>
      <c r="DH182" s="382"/>
      <c r="DI182" s="382"/>
      <c r="DJ182" s="382"/>
      <c r="DK182" s="382"/>
      <c r="DL182" s="382"/>
      <c r="DM182" s="382"/>
      <c r="DN182" s="382"/>
      <c r="DO182" s="382"/>
      <c r="DP182" s="382"/>
      <c r="DQ182" s="382"/>
      <c r="DR182" s="382"/>
      <c r="DS182" s="382"/>
      <c r="DT182" s="382"/>
      <c r="DU182" s="382"/>
      <c r="DV182" s="382"/>
      <c r="DW182" s="382"/>
      <c r="DX182" s="382"/>
      <c r="DY182" s="382"/>
      <c r="DZ182" s="382"/>
      <c r="EA182" s="382"/>
      <c r="EB182" s="580"/>
    </row>
    <row r="183" spans="1:132" s="517" customFormat="1" hidden="1" x14ac:dyDescent="0.3">
      <c r="A183" s="580"/>
      <c r="B183" s="580"/>
      <c r="C183" s="580"/>
      <c r="D183" s="580"/>
      <c r="E183" s="580"/>
      <c r="F183" s="596" t="s">
        <v>240</v>
      </c>
      <c r="G183" s="580">
        <v>2</v>
      </c>
      <c r="H183" s="659"/>
      <c r="I183" s="659">
        <v>0</v>
      </c>
      <c r="J183" s="659"/>
      <c r="K183" s="659"/>
      <c r="L183" s="659"/>
      <c r="M183" s="659"/>
      <c r="N183" s="659"/>
      <c r="O183" s="580" t="s">
        <v>239</v>
      </c>
      <c r="P183" s="580"/>
      <c r="Q183" s="580"/>
      <c r="R183" s="580"/>
      <c r="S183" s="580"/>
      <c r="T183" s="580"/>
      <c r="U183" s="580"/>
      <c r="V183" s="580"/>
      <c r="W183" s="580"/>
      <c r="X183" s="580"/>
      <c r="Y183" s="580"/>
      <c r="Z183" s="580"/>
      <c r="AA183" s="382"/>
      <c r="AB183" s="382"/>
      <c r="AC183" s="382"/>
      <c r="AD183" s="382"/>
      <c r="AE183" s="382"/>
      <c r="AF183" s="382"/>
      <c r="AG183" s="382"/>
      <c r="AH183" s="382"/>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c r="BP183" s="382"/>
      <c r="BQ183" s="382"/>
      <c r="BR183" s="382"/>
      <c r="BS183" s="382"/>
      <c r="BT183" s="382"/>
      <c r="BU183" s="382"/>
      <c r="BV183" s="382"/>
      <c r="BW183" s="382"/>
      <c r="BX183" s="382"/>
      <c r="BY183" s="382"/>
      <c r="BZ183" s="382"/>
      <c r="CA183" s="382"/>
      <c r="CB183" s="382"/>
      <c r="CC183" s="382"/>
      <c r="CD183" s="382"/>
      <c r="CE183" s="382"/>
      <c r="CF183" s="382"/>
      <c r="CG183" s="382"/>
      <c r="CH183" s="382"/>
      <c r="CI183" s="382"/>
      <c r="CJ183" s="382"/>
      <c r="CK183" s="382"/>
      <c r="CL183" s="382"/>
      <c r="CM183" s="382"/>
      <c r="CN183" s="382"/>
      <c r="CO183" s="382"/>
      <c r="CP183" s="382"/>
      <c r="CQ183" s="382"/>
      <c r="CR183" s="382"/>
      <c r="CS183" s="382"/>
      <c r="CT183" s="382"/>
      <c r="CU183" s="382"/>
      <c r="CV183" s="382"/>
      <c r="CW183" s="382"/>
      <c r="CX183" s="382"/>
      <c r="CY183" s="382"/>
      <c r="CZ183" s="382"/>
      <c r="DA183" s="382"/>
      <c r="DB183" s="382"/>
      <c r="DC183" s="382"/>
      <c r="DD183" s="382"/>
      <c r="DE183" s="382"/>
      <c r="DF183" s="382"/>
      <c r="DG183" s="382"/>
      <c r="DH183" s="382"/>
      <c r="DI183" s="382"/>
      <c r="DJ183" s="382"/>
      <c r="DK183" s="382"/>
      <c r="DL183" s="382"/>
      <c r="DM183" s="382"/>
      <c r="DN183" s="382"/>
      <c r="DO183" s="382"/>
      <c r="DP183" s="382"/>
      <c r="DQ183" s="382"/>
      <c r="DR183" s="382"/>
      <c r="DS183" s="382"/>
      <c r="DT183" s="382"/>
      <c r="DU183" s="382"/>
      <c r="DV183" s="382"/>
      <c r="DW183" s="382"/>
      <c r="DX183" s="382"/>
      <c r="DY183" s="382"/>
      <c r="DZ183" s="382"/>
      <c r="EA183" s="382"/>
      <c r="EB183" s="580"/>
    </row>
    <row r="184" spans="1:132" s="517" customFormat="1" hidden="1" x14ac:dyDescent="0.3">
      <c r="A184" s="580"/>
      <c r="B184" s="580"/>
      <c r="C184" s="580"/>
      <c r="D184" s="580"/>
      <c r="E184" s="580"/>
      <c r="F184" s="596" t="s">
        <v>241</v>
      </c>
      <c r="G184" s="580">
        <v>3</v>
      </c>
      <c r="H184" s="659"/>
      <c r="I184" s="659">
        <v>0</v>
      </c>
      <c r="J184" s="659"/>
      <c r="K184" s="659"/>
      <c r="L184" s="659"/>
      <c r="M184" s="659"/>
      <c r="N184" s="659"/>
      <c r="O184" s="580" t="s">
        <v>239</v>
      </c>
      <c r="P184" s="580"/>
      <c r="Q184" s="580"/>
      <c r="R184" s="580"/>
      <c r="S184" s="580"/>
      <c r="T184" s="580"/>
      <c r="U184" s="580"/>
      <c r="V184" s="580"/>
      <c r="W184" s="580"/>
      <c r="X184" s="580"/>
      <c r="Y184" s="580"/>
      <c r="Z184" s="580"/>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c r="BP184" s="382"/>
      <c r="BQ184" s="382"/>
      <c r="BR184" s="382"/>
      <c r="BS184" s="382"/>
      <c r="BT184" s="382"/>
      <c r="BU184" s="382"/>
      <c r="BV184" s="382"/>
      <c r="BW184" s="382"/>
      <c r="BX184" s="382"/>
      <c r="BY184" s="382"/>
      <c r="BZ184" s="382"/>
      <c r="CA184" s="382"/>
      <c r="CB184" s="382"/>
      <c r="CC184" s="382"/>
      <c r="CD184" s="382"/>
      <c r="CE184" s="382"/>
      <c r="CF184" s="382"/>
      <c r="CG184" s="382"/>
      <c r="CH184" s="382"/>
      <c r="CI184" s="382"/>
      <c r="CJ184" s="382"/>
      <c r="CK184" s="382"/>
      <c r="CL184" s="382"/>
      <c r="CM184" s="382"/>
      <c r="CN184" s="382"/>
      <c r="CO184" s="382"/>
      <c r="CP184" s="382"/>
      <c r="CQ184" s="382"/>
      <c r="CR184" s="382"/>
      <c r="CS184" s="382"/>
      <c r="CT184" s="382"/>
      <c r="CU184" s="382"/>
      <c r="CV184" s="382"/>
      <c r="CW184" s="382"/>
      <c r="CX184" s="382"/>
      <c r="CY184" s="382"/>
      <c r="CZ184" s="382"/>
      <c r="DA184" s="382"/>
      <c r="DB184" s="382"/>
      <c r="DC184" s="382"/>
      <c r="DD184" s="382"/>
      <c r="DE184" s="382"/>
      <c r="DF184" s="382"/>
      <c r="DG184" s="382"/>
      <c r="DH184" s="382"/>
      <c r="DI184" s="382"/>
      <c r="DJ184" s="382"/>
      <c r="DK184" s="382"/>
      <c r="DL184" s="382"/>
      <c r="DM184" s="382"/>
      <c r="DN184" s="382"/>
      <c r="DO184" s="382"/>
      <c r="DP184" s="382"/>
      <c r="DQ184" s="382"/>
      <c r="DR184" s="382"/>
      <c r="DS184" s="382"/>
      <c r="DT184" s="382"/>
      <c r="DU184" s="382"/>
      <c r="DV184" s="382"/>
      <c r="DW184" s="382"/>
      <c r="DX184" s="382"/>
      <c r="DY184" s="382"/>
      <c r="DZ184" s="382"/>
      <c r="EA184" s="382"/>
      <c r="EB184" s="580"/>
    </row>
    <row r="185" spans="1:132" s="517" customFormat="1" hidden="1" x14ac:dyDescent="0.3">
      <c r="A185" s="580"/>
      <c r="B185" s="580"/>
      <c r="C185" s="580"/>
      <c r="D185" s="580"/>
      <c r="E185" s="580"/>
      <c r="F185" s="596" t="s">
        <v>242</v>
      </c>
      <c r="G185" s="580">
        <v>4</v>
      </c>
      <c r="H185" s="659">
        <v>0</v>
      </c>
      <c r="I185" s="659"/>
      <c r="J185" s="659"/>
      <c r="K185" s="659"/>
      <c r="L185" s="659"/>
      <c r="M185" s="659"/>
      <c r="N185" s="659"/>
      <c r="O185" s="580" t="s">
        <v>243</v>
      </c>
      <c r="P185" s="580"/>
      <c r="Q185" s="580"/>
      <c r="R185" s="580"/>
      <c r="S185" s="580"/>
      <c r="T185" s="580"/>
      <c r="U185" s="580"/>
      <c r="V185" s="580"/>
      <c r="W185" s="580"/>
      <c r="X185" s="580"/>
      <c r="Y185" s="580"/>
      <c r="Z185" s="580"/>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382"/>
      <c r="CY185" s="382"/>
      <c r="CZ185" s="382"/>
      <c r="DA185" s="382"/>
      <c r="DB185" s="382"/>
      <c r="DC185" s="382"/>
      <c r="DD185" s="382"/>
      <c r="DE185" s="382"/>
      <c r="DF185" s="382"/>
      <c r="DG185" s="382"/>
      <c r="DH185" s="382"/>
      <c r="DI185" s="382"/>
      <c r="DJ185" s="382"/>
      <c r="DK185" s="382"/>
      <c r="DL185" s="382"/>
      <c r="DM185" s="382"/>
      <c r="DN185" s="382"/>
      <c r="DO185" s="382"/>
      <c r="DP185" s="382"/>
      <c r="DQ185" s="382"/>
      <c r="DR185" s="382"/>
      <c r="DS185" s="382"/>
      <c r="DT185" s="382"/>
      <c r="DU185" s="382"/>
      <c r="DV185" s="382"/>
      <c r="DW185" s="382"/>
      <c r="DX185" s="382"/>
      <c r="DY185" s="382"/>
      <c r="DZ185" s="382"/>
      <c r="EA185" s="382"/>
      <c r="EB185" s="580"/>
    </row>
    <row r="186" spans="1:132" s="517" customFormat="1" hidden="1" x14ac:dyDescent="0.3">
      <c r="A186" s="580"/>
      <c r="B186" s="580"/>
      <c r="C186" s="580"/>
      <c r="D186" s="580"/>
      <c r="E186" s="580"/>
      <c r="F186" s="596" t="s">
        <v>244</v>
      </c>
      <c r="G186" s="580">
        <v>4</v>
      </c>
      <c r="H186" s="659">
        <v>0</v>
      </c>
      <c r="I186" s="659"/>
      <c r="J186" s="659"/>
      <c r="K186" s="659"/>
      <c r="L186" s="659"/>
      <c r="M186" s="659"/>
      <c r="N186" s="659"/>
      <c r="O186" s="580" t="s">
        <v>245</v>
      </c>
      <c r="P186" s="580"/>
      <c r="Q186" s="580"/>
      <c r="R186" s="580"/>
      <c r="S186" s="580"/>
      <c r="T186" s="580"/>
      <c r="U186" s="580"/>
      <c r="V186" s="580"/>
      <c r="W186" s="580"/>
      <c r="X186" s="580"/>
      <c r="Y186" s="580"/>
      <c r="Z186" s="580"/>
      <c r="AA186" s="38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c r="BP186" s="382"/>
      <c r="BQ186" s="382"/>
      <c r="BR186" s="382"/>
      <c r="BS186" s="382"/>
      <c r="BT186" s="382"/>
      <c r="BU186" s="382"/>
      <c r="BV186" s="382"/>
      <c r="BW186" s="382"/>
      <c r="BX186" s="382"/>
      <c r="BY186" s="382"/>
      <c r="BZ186" s="382"/>
      <c r="CA186" s="382"/>
      <c r="CB186" s="382"/>
      <c r="CC186" s="382"/>
      <c r="CD186" s="382"/>
      <c r="CE186" s="382"/>
      <c r="CF186" s="382"/>
      <c r="CG186" s="382"/>
      <c r="CH186" s="382"/>
      <c r="CI186" s="382"/>
      <c r="CJ186" s="382"/>
      <c r="CK186" s="382"/>
      <c r="CL186" s="382"/>
      <c r="CM186" s="382"/>
      <c r="CN186" s="382"/>
      <c r="CO186" s="382"/>
      <c r="CP186" s="382"/>
      <c r="CQ186" s="382"/>
      <c r="CR186" s="382"/>
      <c r="CS186" s="382"/>
      <c r="CT186" s="382"/>
      <c r="CU186" s="382"/>
      <c r="CV186" s="382"/>
      <c r="CW186" s="382"/>
      <c r="CX186" s="382"/>
      <c r="CY186" s="382"/>
      <c r="CZ186" s="382"/>
      <c r="DA186" s="382"/>
      <c r="DB186" s="382"/>
      <c r="DC186" s="382"/>
      <c r="DD186" s="382"/>
      <c r="DE186" s="382"/>
      <c r="DF186" s="382"/>
      <c r="DG186" s="382"/>
      <c r="DH186" s="382"/>
      <c r="DI186" s="382"/>
      <c r="DJ186" s="382"/>
      <c r="DK186" s="382"/>
      <c r="DL186" s="382"/>
      <c r="DM186" s="382"/>
      <c r="DN186" s="382"/>
      <c r="DO186" s="382"/>
      <c r="DP186" s="382"/>
      <c r="DQ186" s="382"/>
      <c r="DR186" s="382"/>
      <c r="DS186" s="382"/>
      <c r="DT186" s="382"/>
      <c r="DU186" s="382"/>
      <c r="DV186" s="382"/>
      <c r="DW186" s="382"/>
      <c r="DX186" s="382"/>
      <c r="DY186" s="382"/>
      <c r="DZ186" s="382"/>
      <c r="EA186" s="382"/>
      <c r="EB186" s="580"/>
    </row>
    <row r="187" spans="1:132" s="517" customFormat="1" hidden="1" x14ac:dyDescent="0.3">
      <c r="A187" s="580"/>
      <c r="B187" s="580"/>
      <c r="C187" s="580"/>
      <c r="D187" s="580"/>
      <c r="E187" s="580"/>
      <c r="F187" s="596" t="s">
        <v>246</v>
      </c>
      <c r="G187" s="580">
        <v>5</v>
      </c>
      <c r="H187" s="659"/>
      <c r="I187" s="659">
        <v>0</v>
      </c>
      <c r="J187" s="659"/>
      <c r="K187" s="659"/>
      <c r="L187" s="659"/>
      <c r="M187" s="659"/>
      <c r="N187" s="659"/>
      <c r="O187" s="580" t="s">
        <v>243</v>
      </c>
      <c r="P187" s="580"/>
      <c r="Q187" s="580"/>
      <c r="R187" s="580"/>
      <c r="S187" s="580"/>
      <c r="T187" s="580"/>
      <c r="U187" s="580"/>
      <c r="V187" s="580"/>
      <c r="W187" s="580"/>
      <c r="X187" s="580"/>
      <c r="Y187" s="580"/>
      <c r="Z187" s="580"/>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c r="BP187" s="382"/>
      <c r="BQ187" s="382"/>
      <c r="BR187" s="382"/>
      <c r="BS187" s="382"/>
      <c r="BT187" s="382"/>
      <c r="BU187" s="382"/>
      <c r="BV187" s="382"/>
      <c r="BW187" s="382"/>
      <c r="BX187" s="382"/>
      <c r="BY187" s="382"/>
      <c r="BZ187" s="382"/>
      <c r="CA187" s="382"/>
      <c r="CB187" s="382"/>
      <c r="CC187" s="382"/>
      <c r="CD187" s="382"/>
      <c r="CE187" s="382"/>
      <c r="CF187" s="382"/>
      <c r="CG187" s="382"/>
      <c r="CH187" s="382"/>
      <c r="CI187" s="382"/>
      <c r="CJ187" s="382"/>
      <c r="CK187" s="382"/>
      <c r="CL187" s="382"/>
      <c r="CM187" s="382"/>
      <c r="CN187" s="382"/>
      <c r="CO187" s="382"/>
      <c r="CP187" s="382"/>
      <c r="CQ187" s="382"/>
      <c r="CR187" s="382"/>
      <c r="CS187" s="382"/>
      <c r="CT187" s="382"/>
      <c r="CU187" s="382"/>
      <c r="CV187" s="382"/>
      <c r="CW187" s="382"/>
      <c r="CX187" s="382"/>
      <c r="CY187" s="382"/>
      <c r="CZ187" s="382"/>
      <c r="DA187" s="382"/>
      <c r="DB187" s="382"/>
      <c r="DC187" s="382"/>
      <c r="DD187" s="382"/>
      <c r="DE187" s="382"/>
      <c r="DF187" s="382"/>
      <c r="DG187" s="382"/>
      <c r="DH187" s="382"/>
      <c r="DI187" s="382"/>
      <c r="DJ187" s="382"/>
      <c r="DK187" s="382"/>
      <c r="DL187" s="382"/>
      <c r="DM187" s="382"/>
      <c r="DN187" s="382"/>
      <c r="DO187" s="382"/>
      <c r="DP187" s="382"/>
      <c r="DQ187" s="382"/>
      <c r="DR187" s="382"/>
      <c r="DS187" s="382"/>
      <c r="DT187" s="382"/>
      <c r="DU187" s="382"/>
      <c r="DV187" s="382"/>
      <c r="DW187" s="382"/>
      <c r="DX187" s="382"/>
      <c r="DY187" s="382"/>
      <c r="DZ187" s="382"/>
      <c r="EA187" s="382"/>
      <c r="EB187" s="580"/>
    </row>
    <row r="188" spans="1:132" s="517" customFormat="1" hidden="1" x14ac:dyDescent="0.3">
      <c r="A188" s="580"/>
      <c r="B188" s="580"/>
      <c r="C188" s="580"/>
      <c r="D188" s="580"/>
      <c r="E188" s="580"/>
      <c r="F188" s="596" t="s">
        <v>247</v>
      </c>
      <c r="G188" s="580">
        <v>5</v>
      </c>
      <c r="H188" s="659"/>
      <c r="I188" s="659">
        <v>0</v>
      </c>
      <c r="J188" s="659"/>
      <c r="K188" s="659"/>
      <c r="L188" s="659"/>
      <c r="M188" s="659"/>
      <c r="N188" s="659"/>
      <c r="O188" s="580" t="s">
        <v>248</v>
      </c>
      <c r="P188" s="580"/>
      <c r="Q188" s="580"/>
      <c r="R188" s="580"/>
      <c r="S188" s="580"/>
      <c r="T188" s="580"/>
      <c r="U188" s="580"/>
      <c r="V188" s="580"/>
      <c r="W188" s="580"/>
      <c r="X188" s="580"/>
      <c r="Y188" s="580"/>
      <c r="Z188" s="580"/>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382"/>
      <c r="CY188" s="382"/>
      <c r="CZ188" s="382"/>
      <c r="DA188" s="382"/>
      <c r="DB188" s="382"/>
      <c r="DC188" s="382"/>
      <c r="DD188" s="382"/>
      <c r="DE188" s="382"/>
      <c r="DF188" s="382"/>
      <c r="DG188" s="382"/>
      <c r="DH188" s="382"/>
      <c r="DI188" s="382"/>
      <c r="DJ188" s="382"/>
      <c r="DK188" s="382"/>
      <c r="DL188" s="382"/>
      <c r="DM188" s="382"/>
      <c r="DN188" s="382"/>
      <c r="DO188" s="382"/>
      <c r="DP188" s="382"/>
      <c r="DQ188" s="382"/>
      <c r="DR188" s="382"/>
      <c r="DS188" s="382"/>
      <c r="DT188" s="382"/>
      <c r="DU188" s="382"/>
      <c r="DV188" s="382"/>
      <c r="DW188" s="382"/>
      <c r="DX188" s="382"/>
      <c r="DY188" s="382"/>
      <c r="DZ188" s="382"/>
      <c r="EA188" s="382"/>
      <c r="EB188" s="580"/>
    </row>
    <row r="189" spans="1:132" s="517" customFormat="1" hidden="1" x14ac:dyDescent="0.3">
      <c r="A189" s="580"/>
      <c r="B189" s="580"/>
      <c r="C189" s="580"/>
      <c r="D189" s="580"/>
      <c r="E189" s="580"/>
      <c r="F189" s="596" t="s">
        <v>249</v>
      </c>
      <c r="G189" s="580">
        <v>6</v>
      </c>
      <c r="H189" s="659">
        <v>0</v>
      </c>
      <c r="I189" s="659"/>
      <c r="J189" s="659"/>
      <c r="K189" s="659"/>
      <c r="L189" s="659"/>
      <c r="M189" s="659"/>
      <c r="N189" s="659"/>
      <c r="O189" s="580" t="s">
        <v>243</v>
      </c>
      <c r="P189" s="580"/>
      <c r="Q189" s="580"/>
      <c r="R189" s="580"/>
      <c r="S189" s="580"/>
      <c r="T189" s="580"/>
      <c r="U189" s="580"/>
      <c r="V189" s="580"/>
      <c r="W189" s="580"/>
      <c r="X189" s="580"/>
      <c r="Y189" s="580"/>
      <c r="Z189" s="580"/>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c r="BP189" s="382"/>
      <c r="BQ189" s="382"/>
      <c r="BR189" s="382"/>
      <c r="BS189" s="382"/>
      <c r="BT189" s="382"/>
      <c r="BU189" s="382"/>
      <c r="BV189" s="382"/>
      <c r="BW189" s="382"/>
      <c r="BX189" s="382"/>
      <c r="BY189" s="382"/>
      <c r="BZ189" s="382"/>
      <c r="CA189" s="382"/>
      <c r="CB189" s="382"/>
      <c r="CC189" s="382"/>
      <c r="CD189" s="382"/>
      <c r="CE189" s="382"/>
      <c r="CF189" s="382"/>
      <c r="CG189" s="382"/>
      <c r="CH189" s="382"/>
      <c r="CI189" s="382"/>
      <c r="CJ189" s="382"/>
      <c r="CK189" s="382"/>
      <c r="CL189" s="382"/>
      <c r="CM189" s="382"/>
      <c r="CN189" s="382"/>
      <c r="CO189" s="382"/>
      <c r="CP189" s="382"/>
      <c r="CQ189" s="382"/>
      <c r="CR189" s="382"/>
      <c r="CS189" s="382"/>
      <c r="CT189" s="382"/>
      <c r="CU189" s="382"/>
      <c r="CV189" s="382"/>
      <c r="CW189" s="382"/>
      <c r="CX189" s="382"/>
      <c r="CY189" s="382"/>
      <c r="CZ189" s="382"/>
      <c r="DA189" s="382"/>
      <c r="DB189" s="382"/>
      <c r="DC189" s="382"/>
      <c r="DD189" s="382"/>
      <c r="DE189" s="382"/>
      <c r="DF189" s="382"/>
      <c r="DG189" s="382"/>
      <c r="DH189" s="382"/>
      <c r="DI189" s="382"/>
      <c r="DJ189" s="382"/>
      <c r="DK189" s="382"/>
      <c r="DL189" s="382"/>
      <c r="DM189" s="382"/>
      <c r="DN189" s="382"/>
      <c r="DO189" s="382"/>
      <c r="DP189" s="382"/>
      <c r="DQ189" s="382"/>
      <c r="DR189" s="382"/>
      <c r="DS189" s="382"/>
      <c r="DT189" s="382"/>
      <c r="DU189" s="382"/>
      <c r="DV189" s="382"/>
      <c r="DW189" s="382"/>
      <c r="DX189" s="382"/>
      <c r="DY189" s="382"/>
      <c r="DZ189" s="382"/>
      <c r="EA189" s="382"/>
      <c r="EB189" s="580"/>
    </row>
    <row r="190" spans="1:132" s="517" customFormat="1" hidden="1" x14ac:dyDescent="0.3">
      <c r="A190" s="580"/>
      <c r="B190" s="580"/>
      <c r="C190" s="580"/>
      <c r="D190" s="580"/>
      <c r="E190" s="580"/>
      <c r="F190" s="596" t="s">
        <v>250</v>
      </c>
      <c r="G190" s="580">
        <v>6</v>
      </c>
      <c r="H190" s="659">
        <v>0</v>
      </c>
      <c r="I190" s="659"/>
      <c r="J190" s="659"/>
      <c r="K190" s="659"/>
      <c r="L190" s="659"/>
      <c r="M190" s="659"/>
      <c r="N190" s="659"/>
      <c r="O190" s="580" t="s">
        <v>245</v>
      </c>
      <c r="P190" s="580"/>
      <c r="Q190" s="580"/>
      <c r="R190" s="580"/>
      <c r="S190" s="580"/>
      <c r="T190" s="580"/>
      <c r="U190" s="580"/>
      <c r="V190" s="580"/>
      <c r="W190" s="580"/>
      <c r="X190" s="580"/>
      <c r="Y190" s="580"/>
      <c r="Z190" s="580"/>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382"/>
      <c r="CY190" s="382"/>
      <c r="CZ190" s="382"/>
      <c r="DA190" s="382"/>
      <c r="DB190" s="382"/>
      <c r="DC190" s="382"/>
      <c r="DD190" s="382"/>
      <c r="DE190" s="382"/>
      <c r="DF190" s="382"/>
      <c r="DG190" s="382"/>
      <c r="DH190" s="382"/>
      <c r="DI190" s="382"/>
      <c r="DJ190" s="382"/>
      <c r="DK190" s="382"/>
      <c r="DL190" s="382"/>
      <c r="DM190" s="382"/>
      <c r="DN190" s="382"/>
      <c r="DO190" s="382"/>
      <c r="DP190" s="382"/>
      <c r="DQ190" s="382"/>
      <c r="DR190" s="382"/>
      <c r="DS190" s="382"/>
      <c r="DT190" s="382"/>
      <c r="DU190" s="382"/>
      <c r="DV190" s="382"/>
      <c r="DW190" s="382"/>
      <c r="DX190" s="382"/>
      <c r="DY190" s="382"/>
      <c r="DZ190" s="382"/>
      <c r="EA190" s="382"/>
      <c r="EB190" s="580"/>
    </row>
    <row r="191" spans="1:132" s="517" customFormat="1" hidden="1" x14ac:dyDescent="0.3">
      <c r="A191" s="580"/>
      <c r="B191" s="580"/>
      <c r="C191" s="580"/>
      <c r="D191" s="580"/>
      <c r="E191" s="580"/>
      <c r="F191" s="596" t="s">
        <v>251</v>
      </c>
      <c r="G191" s="580">
        <v>7</v>
      </c>
      <c r="H191" s="659">
        <v>0</v>
      </c>
      <c r="I191" s="659"/>
      <c r="J191" s="659"/>
      <c r="K191" s="659"/>
      <c r="L191" s="659"/>
      <c r="M191" s="659"/>
      <c r="N191" s="659"/>
      <c r="O191" s="580" t="s">
        <v>252</v>
      </c>
      <c r="P191" s="580"/>
      <c r="Q191" s="580"/>
      <c r="R191" s="580"/>
      <c r="S191" s="580"/>
      <c r="T191" s="580"/>
      <c r="U191" s="580"/>
      <c r="V191" s="580"/>
      <c r="W191" s="580"/>
      <c r="X191" s="580"/>
      <c r="Y191" s="580"/>
      <c r="Z191" s="580"/>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c r="BP191" s="382"/>
      <c r="BQ191" s="382"/>
      <c r="BR191" s="382"/>
      <c r="BS191" s="382"/>
      <c r="BT191" s="382"/>
      <c r="BU191" s="382"/>
      <c r="BV191" s="382"/>
      <c r="BW191" s="382"/>
      <c r="BX191" s="382"/>
      <c r="BY191" s="382"/>
      <c r="BZ191" s="382"/>
      <c r="CA191" s="382"/>
      <c r="CB191" s="382"/>
      <c r="CC191" s="382"/>
      <c r="CD191" s="382"/>
      <c r="CE191" s="382"/>
      <c r="CF191" s="382"/>
      <c r="CG191" s="382"/>
      <c r="CH191" s="382"/>
      <c r="CI191" s="382"/>
      <c r="CJ191" s="382"/>
      <c r="CK191" s="382"/>
      <c r="CL191" s="382"/>
      <c r="CM191" s="382"/>
      <c r="CN191" s="382"/>
      <c r="CO191" s="382"/>
      <c r="CP191" s="382"/>
      <c r="CQ191" s="382"/>
      <c r="CR191" s="382"/>
      <c r="CS191" s="382"/>
      <c r="CT191" s="382"/>
      <c r="CU191" s="382"/>
      <c r="CV191" s="382"/>
      <c r="CW191" s="382"/>
      <c r="CX191" s="382"/>
      <c r="CY191" s="382"/>
      <c r="CZ191" s="382"/>
      <c r="DA191" s="382"/>
      <c r="DB191" s="382"/>
      <c r="DC191" s="382"/>
      <c r="DD191" s="382"/>
      <c r="DE191" s="382"/>
      <c r="DF191" s="382"/>
      <c r="DG191" s="382"/>
      <c r="DH191" s="382"/>
      <c r="DI191" s="382"/>
      <c r="DJ191" s="382"/>
      <c r="DK191" s="382"/>
      <c r="DL191" s="382"/>
      <c r="DM191" s="382"/>
      <c r="DN191" s="382"/>
      <c r="DO191" s="382"/>
      <c r="DP191" s="382"/>
      <c r="DQ191" s="382"/>
      <c r="DR191" s="382"/>
      <c r="DS191" s="382"/>
      <c r="DT191" s="382"/>
      <c r="DU191" s="382"/>
      <c r="DV191" s="382"/>
      <c r="DW191" s="382"/>
      <c r="DX191" s="382"/>
      <c r="DY191" s="382"/>
      <c r="DZ191" s="382"/>
      <c r="EA191" s="382"/>
      <c r="EB191" s="580"/>
    </row>
    <row r="192" spans="1:132" s="517" customFormat="1" hidden="1" x14ac:dyDescent="0.3">
      <c r="A192" s="580"/>
      <c r="B192" s="580"/>
      <c r="C192" s="580"/>
      <c r="D192" s="580"/>
      <c r="E192" s="580"/>
      <c r="F192" s="596" t="s">
        <v>253</v>
      </c>
      <c r="G192" s="580">
        <v>7</v>
      </c>
      <c r="H192" s="659">
        <v>0</v>
      </c>
      <c r="I192" s="659"/>
      <c r="J192" s="659"/>
      <c r="K192" s="659"/>
      <c r="L192" s="659"/>
      <c r="M192" s="659"/>
      <c r="N192" s="659"/>
      <c r="O192" s="580" t="s">
        <v>254</v>
      </c>
      <c r="P192" s="580"/>
      <c r="Q192" s="580"/>
      <c r="R192" s="580"/>
      <c r="S192" s="580"/>
      <c r="T192" s="580"/>
      <c r="U192" s="580"/>
      <c r="V192" s="580"/>
      <c r="W192" s="580"/>
      <c r="X192" s="580"/>
      <c r="Y192" s="580"/>
      <c r="Z192" s="580"/>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c r="BP192" s="382"/>
      <c r="BQ192" s="382"/>
      <c r="BR192" s="382"/>
      <c r="BS192" s="382"/>
      <c r="BT192" s="382"/>
      <c r="BU192" s="382"/>
      <c r="BV192" s="382"/>
      <c r="BW192" s="382"/>
      <c r="BX192" s="382"/>
      <c r="BY192" s="382"/>
      <c r="BZ192" s="382"/>
      <c r="CA192" s="382"/>
      <c r="CB192" s="382"/>
      <c r="CC192" s="382"/>
      <c r="CD192" s="382"/>
      <c r="CE192" s="382"/>
      <c r="CF192" s="382"/>
      <c r="CG192" s="382"/>
      <c r="CH192" s="382"/>
      <c r="CI192" s="382"/>
      <c r="CJ192" s="382"/>
      <c r="CK192" s="382"/>
      <c r="CL192" s="382"/>
      <c r="CM192" s="382"/>
      <c r="CN192" s="382"/>
      <c r="CO192" s="382"/>
      <c r="CP192" s="382"/>
      <c r="CQ192" s="382"/>
      <c r="CR192" s="382"/>
      <c r="CS192" s="382"/>
      <c r="CT192" s="382"/>
      <c r="CU192" s="382"/>
      <c r="CV192" s="382"/>
      <c r="CW192" s="382"/>
      <c r="CX192" s="382"/>
      <c r="CY192" s="382"/>
      <c r="CZ192" s="382"/>
      <c r="DA192" s="382"/>
      <c r="DB192" s="382"/>
      <c r="DC192" s="382"/>
      <c r="DD192" s="382"/>
      <c r="DE192" s="382"/>
      <c r="DF192" s="382"/>
      <c r="DG192" s="382"/>
      <c r="DH192" s="382"/>
      <c r="DI192" s="382"/>
      <c r="DJ192" s="382"/>
      <c r="DK192" s="382"/>
      <c r="DL192" s="382"/>
      <c r="DM192" s="382"/>
      <c r="DN192" s="382"/>
      <c r="DO192" s="382"/>
      <c r="DP192" s="382"/>
      <c r="DQ192" s="382"/>
      <c r="DR192" s="382"/>
      <c r="DS192" s="382"/>
      <c r="DT192" s="382"/>
      <c r="DU192" s="382"/>
      <c r="DV192" s="382"/>
      <c r="DW192" s="382"/>
      <c r="DX192" s="382"/>
      <c r="DY192" s="382"/>
      <c r="DZ192" s="382"/>
      <c r="EA192" s="382"/>
      <c r="EB192" s="580"/>
    </row>
    <row r="193" spans="1:132" s="517" customFormat="1" hidden="1" x14ac:dyDescent="0.3">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382"/>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c r="BP193" s="382"/>
      <c r="BQ193" s="382"/>
      <c r="BR193" s="382"/>
      <c r="BS193" s="382"/>
      <c r="BT193" s="382"/>
      <c r="BU193" s="382"/>
      <c r="BV193" s="382"/>
      <c r="BW193" s="382"/>
      <c r="BX193" s="382"/>
      <c r="BY193" s="382"/>
      <c r="BZ193" s="382"/>
      <c r="CA193" s="382"/>
      <c r="CB193" s="382"/>
      <c r="CC193" s="382"/>
      <c r="CD193" s="382"/>
      <c r="CE193" s="382"/>
      <c r="CF193" s="382"/>
      <c r="CG193" s="382"/>
      <c r="CH193" s="382"/>
      <c r="CI193" s="382"/>
      <c r="CJ193" s="382"/>
      <c r="CK193" s="382"/>
      <c r="CL193" s="382"/>
      <c r="CM193" s="382"/>
      <c r="CN193" s="382"/>
      <c r="CO193" s="382"/>
      <c r="CP193" s="382"/>
      <c r="CQ193" s="382"/>
      <c r="CR193" s="382"/>
      <c r="CS193" s="382"/>
      <c r="CT193" s="382"/>
      <c r="CU193" s="382"/>
      <c r="CV193" s="382"/>
      <c r="CW193" s="382"/>
      <c r="CX193" s="382"/>
      <c r="CY193" s="382"/>
      <c r="CZ193" s="382"/>
      <c r="DA193" s="382"/>
      <c r="DB193" s="382"/>
      <c r="DC193" s="382"/>
      <c r="DD193" s="382"/>
      <c r="DE193" s="382"/>
      <c r="DF193" s="382"/>
      <c r="DG193" s="382"/>
      <c r="DH193" s="382"/>
      <c r="DI193" s="382"/>
      <c r="DJ193" s="382"/>
      <c r="DK193" s="382"/>
      <c r="DL193" s="382"/>
      <c r="DM193" s="382"/>
      <c r="DN193" s="382"/>
      <c r="DO193" s="382"/>
      <c r="DP193" s="382"/>
      <c r="DQ193" s="382"/>
      <c r="DR193" s="382"/>
      <c r="DS193" s="382"/>
      <c r="DT193" s="382"/>
      <c r="DU193" s="382"/>
      <c r="DV193" s="382"/>
      <c r="DW193" s="382"/>
      <c r="DX193" s="382"/>
      <c r="DY193" s="382"/>
      <c r="DZ193" s="382"/>
      <c r="EA193" s="382"/>
      <c r="EB193" s="389"/>
    </row>
    <row r="194" spans="1:132" s="517" customFormat="1" hidden="1" x14ac:dyDescent="0.3">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c r="BP194" s="382"/>
      <c r="BQ194" s="382"/>
      <c r="BR194" s="382"/>
      <c r="BS194" s="382"/>
      <c r="BT194" s="382"/>
      <c r="BU194" s="382"/>
      <c r="BV194" s="382"/>
      <c r="BW194" s="382"/>
      <c r="BX194" s="382"/>
      <c r="BY194" s="382"/>
      <c r="BZ194" s="382"/>
      <c r="CA194" s="382"/>
      <c r="CB194" s="382"/>
      <c r="CC194" s="382"/>
      <c r="CD194" s="382"/>
      <c r="CE194" s="382"/>
      <c r="CF194" s="382"/>
      <c r="CG194" s="382"/>
      <c r="CH194" s="382"/>
      <c r="CI194" s="382"/>
      <c r="CJ194" s="382"/>
      <c r="CK194" s="382"/>
      <c r="CL194" s="382"/>
      <c r="CM194" s="382"/>
      <c r="CN194" s="382"/>
      <c r="CO194" s="382"/>
      <c r="CP194" s="382"/>
      <c r="CQ194" s="382"/>
      <c r="CR194" s="382"/>
      <c r="CS194" s="382"/>
      <c r="CT194" s="382"/>
      <c r="CU194" s="382"/>
      <c r="CV194" s="382"/>
      <c r="CW194" s="382"/>
      <c r="CX194" s="382"/>
      <c r="CY194" s="382"/>
      <c r="CZ194" s="382"/>
      <c r="DA194" s="382"/>
      <c r="DB194" s="382"/>
      <c r="DC194" s="382"/>
      <c r="DD194" s="382"/>
      <c r="DE194" s="382"/>
      <c r="DF194" s="382"/>
      <c r="DG194" s="382"/>
      <c r="DH194" s="382"/>
      <c r="DI194" s="382"/>
      <c r="DJ194" s="382"/>
      <c r="DK194" s="382"/>
      <c r="DL194" s="382"/>
      <c r="DM194" s="382"/>
      <c r="DN194" s="382"/>
      <c r="DO194" s="382"/>
      <c r="DP194" s="382"/>
      <c r="DQ194" s="382"/>
      <c r="DR194" s="382"/>
      <c r="DS194" s="382"/>
      <c r="DT194" s="382"/>
      <c r="DU194" s="382"/>
      <c r="DV194" s="382"/>
      <c r="DW194" s="382"/>
      <c r="DX194" s="382"/>
      <c r="DY194" s="382"/>
      <c r="DZ194" s="382"/>
      <c r="EA194" s="382"/>
      <c r="EB194" s="389"/>
    </row>
    <row r="195" spans="1:132" s="517" customFormat="1" hidden="1" x14ac:dyDescent="0.3">
      <c r="A195" s="580"/>
      <c r="B195" s="580"/>
      <c r="C195" s="580"/>
      <c r="D195" s="580"/>
      <c r="E195" s="580"/>
      <c r="F195" s="580"/>
      <c r="G195" s="580"/>
      <c r="H195" s="580"/>
      <c r="I195" s="580"/>
      <c r="J195" s="580"/>
      <c r="K195" s="580"/>
      <c r="L195" s="580"/>
      <c r="M195" s="580"/>
      <c r="N195" s="580"/>
      <c r="O195" s="580"/>
      <c r="P195" s="580"/>
      <c r="Q195" s="580"/>
      <c r="R195" s="580"/>
      <c r="S195" s="580"/>
      <c r="T195" s="580"/>
      <c r="U195" s="580"/>
      <c r="V195" s="580"/>
      <c r="W195" s="580"/>
      <c r="X195" s="580"/>
      <c r="Y195" s="580"/>
      <c r="Z195" s="580"/>
      <c r="AA195" s="382"/>
      <c r="AB195" s="382"/>
      <c r="AC195" s="382"/>
      <c r="AD195" s="382"/>
      <c r="AE195" s="382"/>
      <c r="AF195" s="382"/>
      <c r="AG195" s="382"/>
      <c r="AH195" s="382"/>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c r="BP195" s="382"/>
      <c r="BQ195" s="382"/>
      <c r="BR195" s="382"/>
      <c r="BS195" s="382"/>
      <c r="BT195" s="382"/>
      <c r="BU195" s="382"/>
      <c r="BV195" s="382"/>
      <c r="BW195" s="382"/>
      <c r="BX195" s="382"/>
      <c r="BY195" s="382"/>
      <c r="BZ195" s="382"/>
      <c r="CA195" s="382"/>
      <c r="CB195" s="382"/>
      <c r="CC195" s="382"/>
      <c r="CD195" s="382"/>
      <c r="CE195" s="382"/>
      <c r="CF195" s="382"/>
      <c r="CG195" s="382"/>
      <c r="CH195" s="382"/>
      <c r="CI195" s="382"/>
      <c r="CJ195" s="382"/>
      <c r="CK195" s="382"/>
      <c r="CL195" s="382"/>
      <c r="CM195" s="382"/>
      <c r="CN195" s="382"/>
      <c r="CO195" s="382"/>
      <c r="CP195" s="382"/>
      <c r="CQ195" s="382"/>
      <c r="CR195" s="382"/>
      <c r="CS195" s="382"/>
      <c r="CT195" s="382"/>
      <c r="CU195" s="382"/>
      <c r="CV195" s="382"/>
      <c r="CW195" s="382"/>
      <c r="CX195" s="382"/>
      <c r="CY195" s="382"/>
      <c r="CZ195" s="382"/>
      <c r="DA195" s="382"/>
      <c r="DB195" s="382"/>
      <c r="DC195" s="382"/>
      <c r="DD195" s="382"/>
      <c r="DE195" s="382"/>
      <c r="DF195" s="382"/>
      <c r="DG195" s="382"/>
      <c r="DH195" s="382"/>
      <c r="DI195" s="382"/>
      <c r="DJ195" s="382"/>
      <c r="DK195" s="382"/>
      <c r="DL195" s="382"/>
      <c r="DM195" s="382"/>
      <c r="DN195" s="382"/>
      <c r="DO195" s="382"/>
      <c r="DP195" s="382"/>
      <c r="DQ195" s="382"/>
      <c r="DR195" s="382"/>
      <c r="DS195" s="382"/>
      <c r="DT195" s="382"/>
      <c r="DU195" s="382"/>
      <c r="DV195" s="382"/>
      <c r="DW195" s="382"/>
      <c r="DX195" s="382"/>
      <c r="DY195" s="382"/>
      <c r="DZ195" s="382"/>
      <c r="EA195" s="382"/>
      <c r="EB195" s="580"/>
    </row>
    <row r="196" spans="1:132" s="517" customFormat="1" hidden="1" x14ac:dyDescent="0.3">
      <c r="A196" s="580"/>
      <c r="B196" s="580"/>
      <c r="C196" s="580"/>
      <c r="D196" s="580"/>
      <c r="E196" s="580"/>
      <c r="F196" s="580"/>
      <c r="G196" s="580"/>
      <c r="H196" s="580"/>
      <c r="I196" s="580"/>
      <c r="J196" s="580"/>
      <c r="K196" s="580"/>
      <c r="L196" s="580"/>
      <c r="M196" s="580"/>
      <c r="N196" s="580"/>
      <c r="O196" s="580"/>
      <c r="P196" s="580"/>
      <c r="Q196" s="580"/>
      <c r="R196" s="580"/>
      <c r="S196" s="580"/>
      <c r="T196" s="580"/>
      <c r="U196" s="580"/>
      <c r="V196" s="580"/>
      <c r="W196" s="580"/>
      <c r="X196" s="580"/>
      <c r="Y196" s="580"/>
      <c r="Z196" s="580"/>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c r="BP196" s="382"/>
      <c r="BQ196" s="382"/>
      <c r="BR196" s="382"/>
      <c r="BS196" s="382"/>
      <c r="BT196" s="382"/>
      <c r="BU196" s="382"/>
      <c r="BV196" s="382"/>
      <c r="BW196" s="382"/>
      <c r="BX196" s="382"/>
      <c r="BY196" s="382"/>
      <c r="BZ196" s="382"/>
      <c r="CA196" s="382"/>
      <c r="CB196" s="382"/>
      <c r="CC196" s="382"/>
      <c r="CD196" s="382"/>
      <c r="CE196" s="382"/>
      <c r="CF196" s="382"/>
      <c r="CG196" s="382"/>
      <c r="CH196" s="382"/>
      <c r="CI196" s="382"/>
      <c r="CJ196" s="382"/>
      <c r="CK196" s="382"/>
      <c r="CL196" s="382"/>
      <c r="CM196" s="382"/>
      <c r="CN196" s="382"/>
      <c r="CO196" s="382"/>
      <c r="CP196" s="382"/>
      <c r="CQ196" s="382"/>
      <c r="CR196" s="382"/>
      <c r="CS196" s="382"/>
      <c r="CT196" s="382"/>
      <c r="CU196" s="382"/>
      <c r="CV196" s="382"/>
      <c r="CW196" s="382"/>
      <c r="CX196" s="382"/>
      <c r="CY196" s="382"/>
      <c r="CZ196" s="382"/>
      <c r="DA196" s="382"/>
      <c r="DB196" s="382"/>
      <c r="DC196" s="382"/>
      <c r="DD196" s="382"/>
      <c r="DE196" s="382"/>
      <c r="DF196" s="382"/>
      <c r="DG196" s="382"/>
      <c r="DH196" s="382"/>
      <c r="DI196" s="382"/>
      <c r="DJ196" s="382"/>
      <c r="DK196" s="382"/>
      <c r="DL196" s="382"/>
      <c r="DM196" s="382"/>
      <c r="DN196" s="382"/>
      <c r="DO196" s="382"/>
      <c r="DP196" s="382"/>
      <c r="DQ196" s="382"/>
      <c r="DR196" s="382"/>
      <c r="DS196" s="382"/>
      <c r="DT196" s="382"/>
      <c r="DU196" s="382"/>
      <c r="DV196" s="382"/>
      <c r="DW196" s="382"/>
      <c r="DX196" s="382"/>
      <c r="DY196" s="382"/>
      <c r="DZ196" s="382"/>
      <c r="EA196" s="382"/>
      <c r="EB196" s="580"/>
    </row>
    <row r="197" spans="1:132" s="517" customFormat="1" hidden="1" x14ac:dyDescent="0.3">
      <c r="A197" s="580"/>
      <c r="B197" s="580"/>
      <c r="C197" s="580"/>
      <c r="D197" s="580"/>
      <c r="E197" s="580"/>
      <c r="F197" s="580"/>
      <c r="G197" s="580"/>
      <c r="H197" s="580"/>
      <c r="I197" s="580"/>
      <c r="J197" s="580"/>
      <c r="K197" s="580"/>
      <c r="L197" s="580"/>
      <c r="M197" s="580"/>
      <c r="N197" s="580"/>
      <c r="O197" s="580"/>
      <c r="P197" s="580"/>
      <c r="Q197" s="580"/>
      <c r="R197" s="580"/>
      <c r="S197" s="580"/>
      <c r="T197" s="580"/>
      <c r="U197" s="580"/>
      <c r="V197" s="580"/>
      <c r="W197" s="580"/>
      <c r="X197" s="580"/>
      <c r="Y197" s="580"/>
      <c r="Z197" s="580"/>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c r="BP197" s="382"/>
      <c r="BQ197" s="382"/>
      <c r="BR197" s="382"/>
      <c r="BS197" s="382"/>
      <c r="BT197" s="382"/>
      <c r="BU197" s="382"/>
      <c r="BV197" s="382"/>
      <c r="BW197" s="382"/>
      <c r="BX197" s="382"/>
      <c r="BY197" s="382"/>
      <c r="BZ197" s="382"/>
      <c r="CA197" s="382"/>
      <c r="CB197" s="382"/>
      <c r="CC197" s="382"/>
      <c r="CD197" s="382"/>
      <c r="CE197" s="382"/>
      <c r="CF197" s="382"/>
      <c r="CG197" s="382"/>
      <c r="CH197" s="382"/>
      <c r="CI197" s="382"/>
      <c r="CJ197" s="382"/>
      <c r="CK197" s="382"/>
      <c r="CL197" s="382"/>
      <c r="CM197" s="382"/>
      <c r="CN197" s="382"/>
      <c r="CO197" s="382"/>
      <c r="CP197" s="382"/>
      <c r="CQ197" s="382"/>
      <c r="CR197" s="382"/>
      <c r="CS197" s="382"/>
      <c r="CT197" s="382"/>
      <c r="CU197" s="382"/>
      <c r="CV197" s="382"/>
      <c r="CW197" s="382"/>
      <c r="CX197" s="382"/>
      <c r="CY197" s="382"/>
      <c r="CZ197" s="382"/>
      <c r="DA197" s="382"/>
      <c r="DB197" s="382"/>
      <c r="DC197" s="382"/>
      <c r="DD197" s="382"/>
      <c r="DE197" s="382"/>
      <c r="DF197" s="382"/>
      <c r="DG197" s="382"/>
      <c r="DH197" s="382"/>
      <c r="DI197" s="382"/>
      <c r="DJ197" s="382"/>
      <c r="DK197" s="382"/>
      <c r="DL197" s="382"/>
      <c r="DM197" s="382"/>
      <c r="DN197" s="382"/>
      <c r="DO197" s="382"/>
      <c r="DP197" s="382"/>
      <c r="DQ197" s="382"/>
      <c r="DR197" s="382"/>
      <c r="DS197" s="382"/>
      <c r="DT197" s="382"/>
      <c r="DU197" s="382"/>
      <c r="DV197" s="382"/>
      <c r="DW197" s="382"/>
      <c r="DX197" s="382"/>
      <c r="DY197" s="382"/>
      <c r="DZ197" s="382"/>
      <c r="EA197" s="382"/>
      <c r="EB197" s="580"/>
    </row>
    <row r="198" spans="1:132" s="517" customFormat="1" hidden="1" x14ac:dyDescent="0.3">
      <c r="A198" s="580"/>
      <c r="B198" s="580"/>
      <c r="C198" s="580"/>
      <c r="D198" s="580"/>
      <c r="E198" s="580"/>
      <c r="F198" s="580"/>
      <c r="G198" s="580"/>
      <c r="H198" s="580"/>
      <c r="I198" s="580"/>
      <c r="J198" s="580"/>
      <c r="K198" s="580"/>
      <c r="L198" s="580"/>
      <c r="M198" s="580"/>
      <c r="N198" s="580"/>
      <c r="O198" s="580"/>
      <c r="P198" s="580"/>
      <c r="Q198" s="580"/>
      <c r="R198" s="580"/>
      <c r="S198" s="580"/>
      <c r="T198" s="580"/>
      <c r="U198" s="580"/>
      <c r="V198" s="580"/>
      <c r="W198" s="580"/>
      <c r="X198" s="580"/>
      <c r="Y198" s="580"/>
      <c r="Z198" s="580"/>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c r="BP198" s="382"/>
      <c r="BQ198" s="382"/>
      <c r="BR198" s="382"/>
      <c r="BS198" s="382"/>
      <c r="BT198" s="382"/>
      <c r="BU198" s="382"/>
      <c r="BV198" s="382"/>
      <c r="BW198" s="382"/>
      <c r="BX198" s="382"/>
      <c r="BY198" s="382"/>
      <c r="BZ198" s="382"/>
      <c r="CA198" s="382"/>
      <c r="CB198" s="382"/>
      <c r="CC198" s="382"/>
      <c r="CD198" s="382"/>
      <c r="CE198" s="382"/>
      <c r="CF198" s="382"/>
      <c r="CG198" s="382"/>
      <c r="CH198" s="382"/>
      <c r="CI198" s="382"/>
      <c r="CJ198" s="382"/>
      <c r="CK198" s="382"/>
      <c r="CL198" s="382"/>
      <c r="CM198" s="382"/>
      <c r="CN198" s="382"/>
      <c r="CO198" s="382"/>
      <c r="CP198" s="382"/>
      <c r="CQ198" s="382"/>
      <c r="CR198" s="382"/>
      <c r="CS198" s="382"/>
      <c r="CT198" s="382"/>
      <c r="CU198" s="382"/>
      <c r="CV198" s="382"/>
      <c r="CW198" s="382"/>
      <c r="CX198" s="382"/>
      <c r="CY198" s="382"/>
      <c r="CZ198" s="382"/>
      <c r="DA198" s="382"/>
      <c r="DB198" s="382"/>
      <c r="DC198" s="382"/>
      <c r="DD198" s="382"/>
      <c r="DE198" s="382"/>
      <c r="DF198" s="382"/>
      <c r="DG198" s="382"/>
      <c r="DH198" s="382"/>
      <c r="DI198" s="382"/>
      <c r="DJ198" s="382"/>
      <c r="DK198" s="382"/>
      <c r="DL198" s="382"/>
      <c r="DM198" s="382"/>
      <c r="DN198" s="382"/>
      <c r="DO198" s="382"/>
      <c r="DP198" s="382"/>
      <c r="DQ198" s="382"/>
      <c r="DR198" s="382"/>
      <c r="DS198" s="382"/>
      <c r="DT198" s="382"/>
      <c r="DU198" s="382"/>
      <c r="DV198" s="382"/>
      <c r="DW198" s="382"/>
      <c r="DX198" s="382"/>
      <c r="DY198" s="382"/>
      <c r="DZ198" s="382"/>
      <c r="EA198" s="382"/>
      <c r="EB198" s="580"/>
    </row>
    <row r="199" spans="1:132" s="517" customFormat="1" hidden="1" x14ac:dyDescent="0.3">
      <c r="A199" s="580"/>
      <c r="B199" s="580"/>
      <c r="C199" s="580"/>
      <c r="D199" s="580"/>
      <c r="E199" s="580"/>
      <c r="F199" s="580"/>
      <c r="G199" s="580"/>
      <c r="H199" s="580"/>
      <c r="I199" s="580"/>
      <c r="J199" s="580"/>
      <c r="K199" s="580"/>
      <c r="L199" s="580"/>
      <c r="M199" s="580"/>
      <c r="N199" s="580"/>
      <c r="O199" s="580"/>
      <c r="P199" s="580"/>
      <c r="Q199" s="580"/>
      <c r="R199" s="580"/>
      <c r="S199" s="580"/>
      <c r="T199" s="580"/>
      <c r="U199" s="580"/>
      <c r="V199" s="580"/>
      <c r="W199" s="580"/>
      <c r="X199" s="580"/>
      <c r="Y199" s="580"/>
      <c r="Z199" s="580"/>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2"/>
      <c r="BS199" s="382"/>
      <c r="BT199" s="382"/>
      <c r="BU199" s="382"/>
      <c r="BV199" s="382"/>
      <c r="BW199" s="382"/>
      <c r="BX199" s="382"/>
      <c r="BY199" s="382"/>
      <c r="BZ199" s="382"/>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382"/>
      <c r="CY199" s="382"/>
      <c r="CZ199" s="382"/>
      <c r="DA199" s="382"/>
      <c r="DB199" s="382"/>
      <c r="DC199" s="382"/>
      <c r="DD199" s="382"/>
      <c r="DE199" s="382"/>
      <c r="DF199" s="382"/>
      <c r="DG199" s="382"/>
      <c r="DH199" s="382"/>
      <c r="DI199" s="382"/>
      <c r="DJ199" s="382"/>
      <c r="DK199" s="382"/>
      <c r="DL199" s="382"/>
      <c r="DM199" s="382"/>
      <c r="DN199" s="382"/>
      <c r="DO199" s="382"/>
      <c r="DP199" s="382"/>
      <c r="DQ199" s="382"/>
      <c r="DR199" s="382"/>
      <c r="DS199" s="382"/>
      <c r="DT199" s="382"/>
      <c r="DU199" s="382"/>
      <c r="DV199" s="382"/>
      <c r="DW199" s="382"/>
      <c r="DX199" s="382"/>
      <c r="DY199" s="382"/>
      <c r="DZ199" s="382"/>
      <c r="EA199" s="382"/>
      <c r="EB199" s="580"/>
    </row>
    <row r="200" spans="1:132" s="517" customFormat="1" hidden="1" x14ac:dyDescent="0.3">
      <c r="A200" s="580"/>
      <c r="B200" s="580"/>
      <c r="C200" s="580"/>
      <c r="D200" s="580"/>
      <c r="E200" s="580"/>
      <c r="F200" s="580"/>
      <c r="G200" s="580"/>
      <c r="H200" s="580"/>
      <c r="I200" s="580"/>
      <c r="J200" s="580"/>
      <c r="K200" s="580"/>
      <c r="L200" s="580"/>
      <c r="M200" s="580"/>
      <c r="N200" s="580"/>
      <c r="O200" s="580"/>
      <c r="P200" s="580"/>
      <c r="Q200" s="580"/>
      <c r="R200" s="580"/>
      <c r="S200" s="580"/>
      <c r="T200" s="580"/>
      <c r="U200" s="580"/>
      <c r="V200" s="580"/>
      <c r="W200" s="580"/>
      <c r="X200" s="580"/>
      <c r="Y200" s="580"/>
      <c r="Z200" s="580"/>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2"/>
      <c r="BS200" s="382"/>
      <c r="BT200" s="382"/>
      <c r="BU200" s="382"/>
      <c r="BV200" s="382"/>
      <c r="BW200" s="382"/>
      <c r="BX200" s="382"/>
      <c r="BY200" s="382"/>
      <c r="BZ200" s="382"/>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382"/>
      <c r="CY200" s="382"/>
      <c r="CZ200" s="382"/>
      <c r="DA200" s="382"/>
      <c r="DB200" s="382"/>
      <c r="DC200" s="382"/>
      <c r="DD200" s="382"/>
      <c r="DE200" s="382"/>
      <c r="DF200" s="382"/>
      <c r="DG200" s="382"/>
      <c r="DH200" s="382"/>
      <c r="DI200" s="382"/>
      <c r="DJ200" s="382"/>
      <c r="DK200" s="382"/>
      <c r="DL200" s="382"/>
      <c r="DM200" s="382"/>
      <c r="DN200" s="382"/>
      <c r="DO200" s="382"/>
      <c r="DP200" s="382"/>
      <c r="DQ200" s="382"/>
      <c r="DR200" s="382"/>
      <c r="DS200" s="382"/>
      <c r="DT200" s="382"/>
      <c r="DU200" s="382"/>
      <c r="DV200" s="382"/>
      <c r="DW200" s="382"/>
      <c r="DX200" s="382"/>
      <c r="DY200" s="382"/>
      <c r="DZ200" s="382"/>
      <c r="EA200" s="382"/>
      <c r="EB200" s="580"/>
    </row>
    <row r="201" spans="1:132" s="517" customFormat="1" hidden="1" x14ac:dyDescent="0.3">
      <c r="A201" s="580"/>
      <c r="B201" s="580"/>
      <c r="C201" s="580"/>
      <c r="D201" s="580"/>
      <c r="E201" s="580"/>
      <c r="F201" s="580"/>
      <c r="G201" s="580"/>
      <c r="H201" s="580"/>
      <c r="I201" s="580"/>
      <c r="J201" s="580"/>
      <c r="K201" s="580"/>
      <c r="L201" s="580"/>
      <c r="M201" s="580"/>
      <c r="N201" s="580"/>
      <c r="O201" s="580"/>
      <c r="P201" s="580"/>
      <c r="Q201" s="580"/>
      <c r="R201" s="580"/>
      <c r="S201" s="580"/>
      <c r="T201" s="580"/>
      <c r="U201" s="580"/>
      <c r="V201" s="580"/>
      <c r="W201" s="580"/>
      <c r="X201" s="580"/>
      <c r="Y201" s="580"/>
      <c r="Z201" s="580"/>
      <c r="AA201" s="382"/>
      <c r="AB201" s="382"/>
      <c r="AC201" s="382"/>
      <c r="AD201" s="382"/>
      <c r="AE201" s="382"/>
      <c r="AF201" s="382"/>
      <c r="AG201" s="382"/>
      <c r="AH201" s="382"/>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c r="BP201" s="382"/>
      <c r="BQ201" s="382"/>
      <c r="BR201" s="382"/>
      <c r="BS201" s="382"/>
      <c r="BT201" s="382"/>
      <c r="BU201" s="382"/>
      <c r="BV201" s="382"/>
      <c r="BW201" s="382"/>
      <c r="BX201" s="382"/>
      <c r="BY201" s="382"/>
      <c r="BZ201" s="382"/>
      <c r="CA201" s="382"/>
      <c r="CB201" s="382"/>
      <c r="CC201" s="382"/>
      <c r="CD201" s="382"/>
      <c r="CE201" s="382"/>
      <c r="CF201" s="382"/>
      <c r="CG201" s="382"/>
      <c r="CH201" s="382"/>
      <c r="CI201" s="382"/>
      <c r="CJ201" s="382"/>
      <c r="CK201" s="382"/>
      <c r="CL201" s="382"/>
      <c r="CM201" s="382"/>
      <c r="CN201" s="382"/>
      <c r="CO201" s="382"/>
      <c r="CP201" s="382"/>
      <c r="CQ201" s="382"/>
      <c r="CR201" s="382"/>
      <c r="CS201" s="382"/>
      <c r="CT201" s="382"/>
      <c r="CU201" s="382"/>
      <c r="CV201" s="382"/>
      <c r="CW201" s="382"/>
      <c r="CX201" s="382"/>
      <c r="CY201" s="382"/>
      <c r="CZ201" s="382"/>
      <c r="DA201" s="382"/>
      <c r="DB201" s="382"/>
      <c r="DC201" s="382"/>
      <c r="DD201" s="382"/>
      <c r="DE201" s="382"/>
      <c r="DF201" s="382"/>
      <c r="DG201" s="382"/>
      <c r="DH201" s="382"/>
      <c r="DI201" s="382"/>
      <c r="DJ201" s="382"/>
      <c r="DK201" s="382"/>
      <c r="DL201" s="382"/>
      <c r="DM201" s="382"/>
      <c r="DN201" s="382"/>
      <c r="DO201" s="382"/>
      <c r="DP201" s="382"/>
      <c r="DQ201" s="382"/>
      <c r="DR201" s="382"/>
      <c r="DS201" s="382"/>
      <c r="DT201" s="382"/>
      <c r="DU201" s="382"/>
      <c r="DV201" s="382"/>
      <c r="DW201" s="382"/>
      <c r="DX201" s="382"/>
      <c r="DY201" s="382"/>
      <c r="DZ201" s="382"/>
      <c r="EA201" s="382"/>
      <c r="EB201" s="580"/>
    </row>
    <row r="202" spans="1:132" s="517" customFormat="1" hidden="1" x14ac:dyDescent="0.3">
      <c r="A202" s="580"/>
      <c r="B202" s="580"/>
      <c r="C202" s="580"/>
      <c r="D202" s="580"/>
      <c r="E202" s="580"/>
      <c r="F202" s="580"/>
      <c r="G202" s="580"/>
      <c r="H202" s="580"/>
      <c r="I202" s="580"/>
      <c r="J202" s="580"/>
      <c r="K202" s="580"/>
      <c r="L202" s="580"/>
      <c r="M202" s="580"/>
      <c r="N202" s="580"/>
      <c r="O202" s="580"/>
      <c r="P202" s="580"/>
      <c r="Q202" s="580"/>
      <c r="R202" s="580"/>
      <c r="S202" s="580"/>
      <c r="T202" s="580"/>
      <c r="U202" s="580"/>
      <c r="V202" s="580"/>
      <c r="W202" s="580"/>
      <c r="X202" s="580"/>
      <c r="Y202" s="580"/>
      <c r="Z202" s="580"/>
      <c r="AA202" s="382"/>
      <c r="AB202" s="382"/>
      <c r="AC202" s="382"/>
      <c r="AD202" s="382"/>
      <c r="AE202" s="382"/>
      <c r="AF202" s="382"/>
      <c r="AG202" s="382"/>
      <c r="AH202" s="382"/>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c r="BP202" s="382"/>
      <c r="BQ202" s="382"/>
      <c r="BR202" s="382"/>
      <c r="BS202" s="382"/>
      <c r="BT202" s="382"/>
      <c r="BU202" s="382"/>
      <c r="BV202" s="382"/>
      <c r="BW202" s="382"/>
      <c r="BX202" s="382"/>
      <c r="BY202" s="382"/>
      <c r="BZ202" s="382"/>
      <c r="CA202" s="382"/>
      <c r="CB202" s="382"/>
      <c r="CC202" s="382"/>
      <c r="CD202" s="382"/>
      <c r="CE202" s="382"/>
      <c r="CF202" s="382"/>
      <c r="CG202" s="382"/>
      <c r="CH202" s="382"/>
      <c r="CI202" s="382"/>
      <c r="CJ202" s="382"/>
      <c r="CK202" s="382"/>
      <c r="CL202" s="382"/>
      <c r="CM202" s="382"/>
      <c r="CN202" s="382"/>
      <c r="CO202" s="382"/>
      <c r="CP202" s="382"/>
      <c r="CQ202" s="382"/>
      <c r="CR202" s="382"/>
      <c r="CS202" s="382"/>
      <c r="CT202" s="382"/>
      <c r="CU202" s="382"/>
      <c r="CV202" s="382"/>
      <c r="CW202" s="382"/>
      <c r="CX202" s="382"/>
      <c r="CY202" s="382"/>
      <c r="CZ202" s="382"/>
      <c r="DA202" s="382"/>
      <c r="DB202" s="382"/>
      <c r="DC202" s="382"/>
      <c r="DD202" s="382"/>
      <c r="DE202" s="382"/>
      <c r="DF202" s="382"/>
      <c r="DG202" s="382"/>
      <c r="DH202" s="382"/>
      <c r="DI202" s="382"/>
      <c r="DJ202" s="382"/>
      <c r="DK202" s="382"/>
      <c r="DL202" s="382"/>
      <c r="DM202" s="382"/>
      <c r="DN202" s="382"/>
      <c r="DO202" s="382"/>
      <c r="DP202" s="382"/>
      <c r="DQ202" s="382"/>
      <c r="DR202" s="382"/>
      <c r="DS202" s="382"/>
      <c r="DT202" s="382"/>
      <c r="DU202" s="382"/>
      <c r="DV202" s="382"/>
      <c r="DW202" s="382"/>
      <c r="DX202" s="382"/>
      <c r="DY202" s="382"/>
      <c r="DZ202" s="382"/>
      <c r="EA202" s="382"/>
      <c r="EB202" s="580"/>
    </row>
    <row r="203" spans="1:132" s="517" customFormat="1" hidden="1" x14ac:dyDescent="0.3">
      <c r="A203" s="580"/>
      <c r="B203" s="580"/>
      <c r="C203" s="580"/>
      <c r="D203" s="580"/>
      <c r="E203" s="580"/>
      <c r="F203" s="580"/>
      <c r="G203" s="580"/>
      <c r="H203" s="580"/>
      <c r="I203" s="580"/>
      <c r="J203" s="580"/>
      <c r="K203" s="580"/>
      <c r="L203" s="580"/>
      <c r="M203" s="580"/>
      <c r="N203" s="580"/>
      <c r="O203" s="580"/>
      <c r="P203" s="580"/>
      <c r="Q203" s="580"/>
      <c r="R203" s="580"/>
      <c r="S203" s="580"/>
      <c r="T203" s="580"/>
      <c r="U203" s="580"/>
      <c r="V203" s="580"/>
      <c r="W203" s="580"/>
      <c r="X203" s="580"/>
      <c r="Y203" s="580"/>
      <c r="Z203" s="580"/>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c r="BP203" s="382"/>
      <c r="BQ203" s="382"/>
      <c r="BR203" s="382"/>
      <c r="BS203" s="382"/>
      <c r="BT203" s="382"/>
      <c r="BU203" s="382"/>
      <c r="BV203" s="382"/>
      <c r="BW203" s="382"/>
      <c r="BX203" s="382"/>
      <c r="BY203" s="382"/>
      <c r="BZ203" s="382"/>
      <c r="CA203" s="382"/>
      <c r="CB203" s="382"/>
      <c r="CC203" s="382"/>
      <c r="CD203" s="382"/>
      <c r="CE203" s="382"/>
      <c r="CF203" s="382"/>
      <c r="CG203" s="382"/>
      <c r="CH203" s="382"/>
      <c r="CI203" s="382"/>
      <c r="CJ203" s="382"/>
      <c r="CK203" s="382"/>
      <c r="CL203" s="382"/>
      <c r="CM203" s="382"/>
      <c r="CN203" s="382"/>
      <c r="CO203" s="382"/>
      <c r="CP203" s="382"/>
      <c r="CQ203" s="382"/>
      <c r="CR203" s="382"/>
      <c r="CS203" s="382"/>
      <c r="CT203" s="382"/>
      <c r="CU203" s="382"/>
      <c r="CV203" s="382"/>
      <c r="CW203" s="382"/>
      <c r="CX203" s="382"/>
      <c r="CY203" s="382"/>
      <c r="CZ203" s="382"/>
      <c r="DA203" s="382"/>
      <c r="DB203" s="382"/>
      <c r="DC203" s="382"/>
      <c r="DD203" s="382"/>
      <c r="DE203" s="382"/>
      <c r="DF203" s="382"/>
      <c r="DG203" s="382"/>
      <c r="DH203" s="382"/>
      <c r="DI203" s="382"/>
      <c r="DJ203" s="382"/>
      <c r="DK203" s="382"/>
      <c r="DL203" s="382"/>
      <c r="DM203" s="382"/>
      <c r="DN203" s="382"/>
      <c r="DO203" s="382"/>
      <c r="DP203" s="382"/>
      <c r="DQ203" s="382"/>
      <c r="DR203" s="382"/>
      <c r="DS203" s="382"/>
      <c r="DT203" s="382"/>
      <c r="DU203" s="382"/>
      <c r="DV203" s="382"/>
      <c r="DW203" s="382"/>
      <c r="DX203" s="382"/>
      <c r="DY203" s="382"/>
      <c r="DZ203" s="382"/>
      <c r="EA203" s="382"/>
      <c r="EB203" s="580"/>
    </row>
    <row r="204" spans="1:132" s="517" customFormat="1" hidden="1" x14ac:dyDescent="0.3">
      <c r="A204" s="580"/>
      <c r="B204" s="580"/>
      <c r="C204" s="580"/>
      <c r="D204" s="580"/>
      <c r="E204" s="580"/>
      <c r="F204" s="580"/>
      <c r="G204" s="580"/>
      <c r="H204" s="580"/>
      <c r="I204" s="580"/>
      <c r="J204" s="580"/>
      <c r="K204" s="580"/>
      <c r="L204" s="580"/>
      <c r="M204" s="580"/>
      <c r="N204" s="580"/>
      <c r="O204" s="580"/>
      <c r="P204" s="580"/>
      <c r="Q204" s="580"/>
      <c r="R204" s="580"/>
      <c r="S204" s="580"/>
      <c r="T204" s="580"/>
      <c r="U204" s="580"/>
      <c r="V204" s="580"/>
      <c r="W204" s="580"/>
      <c r="X204" s="580"/>
      <c r="Y204" s="580"/>
      <c r="Z204" s="580"/>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c r="BP204" s="382"/>
      <c r="BQ204" s="382"/>
      <c r="BR204" s="382"/>
      <c r="BS204" s="382"/>
      <c r="BT204" s="382"/>
      <c r="BU204" s="382"/>
      <c r="BV204" s="382"/>
      <c r="BW204" s="382"/>
      <c r="BX204" s="382"/>
      <c r="BY204" s="382"/>
      <c r="BZ204" s="382"/>
      <c r="CA204" s="382"/>
      <c r="CB204" s="382"/>
      <c r="CC204" s="382"/>
      <c r="CD204" s="382"/>
      <c r="CE204" s="382"/>
      <c r="CF204" s="382"/>
      <c r="CG204" s="382"/>
      <c r="CH204" s="382"/>
      <c r="CI204" s="382"/>
      <c r="CJ204" s="382"/>
      <c r="CK204" s="382"/>
      <c r="CL204" s="382"/>
      <c r="CM204" s="382"/>
      <c r="CN204" s="382"/>
      <c r="CO204" s="382"/>
      <c r="CP204" s="382"/>
      <c r="CQ204" s="382"/>
      <c r="CR204" s="382"/>
      <c r="CS204" s="382"/>
      <c r="CT204" s="382"/>
      <c r="CU204" s="382"/>
      <c r="CV204" s="382"/>
      <c r="CW204" s="382"/>
      <c r="CX204" s="382"/>
      <c r="CY204" s="382"/>
      <c r="CZ204" s="382"/>
      <c r="DA204" s="382"/>
      <c r="DB204" s="382"/>
      <c r="DC204" s="382"/>
      <c r="DD204" s="382"/>
      <c r="DE204" s="382"/>
      <c r="DF204" s="382"/>
      <c r="DG204" s="382"/>
      <c r="DH204" s="382"/>
      <c r="DI204" s="382"/>
      <c r="DJ204" s="382"/>
      <c r="DK204" s="382"/>
      <c r="DL204" s="382"/>
      <c r="DM204" s="382"/>
      <c r="DN204" s="382"/>
      <c r="DO204" s="382"/>
      <c r="DP204" s="382"/>
      <c r="DQ204" s="382"/>
      <c r="DR204" s="382"/>
      <c r="DS204" s="382"/>
      <c r="DT204" s="382"/>
      <c r="DU204" s="382"/>
      <c r="DV204" s="382"/>
      <c r="DW204" s="382"/>
      <c r="DX204" s="382"/>
      <c r="DY204" s="382"/>
      <c r="DZ204" s="382"/>
      <c r="EA204" s="382"/>
      <c r="EB204" s="580"/>
    </row>
    <row r="205" spans="1:132" s="517" customFormat="1" hidden="1" x14ac:dyDescent="0.3">
      <c r="AA205" s="389"/>
      <c r="AB205" s="389"/>
      <c r="AC205" s="389"/>
      <c r="AD205" s="389"/>
      <c r="AE205" s="389"/>
      <c r="AF205" s="389"/>
      <c r="AG205" s="389"/>
      <c r="AH205" s="389"/>
      <c r="AI205" s="389"/>
      <c r="AJ205" s="389"/>
      <c r="AK205" s="389"/>
      <c r="AL205" s="389"/>
      <c r="AM205" s="389"/>
      <c r="AN205" s="389"/>
      <c r="AO205" s="389"/>
      <c r="AP205" s="389"/>
      <c r="AQ205" s="389"/>
      <c r="AR205" s="389"/>
      <c r="AS205" s="389"/>
      <c r="AT205" s="389"/>
      <c r="AU205" s="389"/>
      <c r="AV205" s="389"/>
      <c r="AW205" s="389"/>
      <c r="AX205" s="389"/>
      <c r="AY205" s="389"/>
      <c r="AZ205" s="389"/>
      <c r="BA205" s="389"/>
      <c r="BB205" s="389"/>
      <c r="BC205" s="389"/>
      <c r="BD205" s="389"/>
      <c r="BE205" s="389"/>
      <c r="BF205" s="389"/>
      <c r="BG205" s="389"/>
      <c r="BH205" s="389"/>
      <c r="BI205" s="389"/>
      <c r="BJ205" s="389"/>
      <c r="BK205" s="389"/>
      <c r="BL205" s="389"/>
      <c r="BM205" s="389"/>
      <c r="BN205" s="389"/>
      <c r="BO205" s="389"/>
      <c r="BP205" s="389"/>
      <c r="BQ205" s="389"/>
      <c r="BR205" s="389"/>
      <c r="BS205" s="389"/>
      <c r="BT205" s="389"/>
      <c r="BU205" s="389"/>
      <c r="BV205" s="389"/>
      <c r="BW205" s="389"/>
      <c r="BX205" s="389"/>
      <c r="BY205" s="389"/>
      <c r="BZ205" s="389"/>
      <c r="CA205" s="389"/>
      <c r="CB205" s="389"/>
      <c r="CC205" s="389"/>
      <c r="CD205" s="389"/>
      <c r="CE205" s="389"/>
      <c r="CF205" s="389"/>
      <c r="CG205" s="389"/>
      <c r="CH205" s="389"/>
      <c r="CI205" s="389"/>
      <c r="CJ205" s="389"/>
      <c r="CK205" s="389"/>
      <c r="CL205" s="389"/>
      <c r="CM205" s="389"/>
      <c r="CN205" s="389"/>
      <c r="CO205" s="389"/>
      <c r="CP205" s="389"/>
      <c r="CQ205" s="389"/>
      <c r="CR205" s="389"/>
      <c r="CS205" s="389"/>
      <c r="CT205" s="389"/>
      <c r="CU205" s="389"/>
      <c r="CV205" s="389"/>
      <c r="CW205" s="389"/>
      <c r="CX205" s="389"/>
      <c r="CY205" s="389"/>
      <c r="CZ205" s="389"/>
      <c r="DA205" s="389"/>
      <c r="DB205" s="389"/>
      <c r="DC205" s="389"/>
      <c r="DD205" s="389"/>
      <c r="DE205" s="389"/>
      <c r="DF205" s="389"/>
      <c r="DG205" s="389"/>
      <c r="DH205" s="389"/>
      <c r="DI205" s="389"/>
      <c r="DJ205" s="389"/>
      <c r="DK205" s="389"/>
      <c r="DL205" s="389"/>
      <c r="DM205" s="389"/>
      <c r="DN205" s="389"/>
      <c r="DO205" s="389"/>
      <c r="DP205" s="389"/>
      <c r="DQ205" s="389"/>
      <c r="DR205" s="389"/>
      <c r="DS205" s="389"/>
      <c r="DT205" s="389"/>
      <c r="DU205" s="389"/>
      <c r="DV205" s="389"/>
      <c r="DW205" s="389"/>
      <c r="DX205" s="389"/>
      <c r="DY205" s="389"/>
      <c r="DZ205" s="389"/>
      <c r="EA205" s="389"/>
    </row>
  </sheetData>
  <sheetProtection algorithmName="SHA-512" hashValue="7NtS/UZjFTpf4+fWZzjsPeij6X/f9aqaibUIHQkAt1jttfkadybOnt8pWrM6DWgUBbG75wljbmmRzCHgg0/FnA==" saltValue="Ik/nM+U8/C1qjCQKVDcMog==" spinCount="100000" sheet="1" objects="1" scenarios="1" selectLockedCells="1" autoFilter="0"/>
  <autoFilter ref="B19:B99" xr:uid="{00000000-0009-0000-0000-000000000000}">
    <filterColumn colId="0">
      <filters>
        <filter val="20"/>
      </filters>
    </filterColumn>
  </autoFilter>
  <sortState xmlns:xlrd2="http://schemas.microsoft.com/office/spreadsheetml/2017/richdata2" ref="DD132:DE139">
    <sortCondition ref="DD132:DD139"/>
  </sortState>
  <dataConsolidate/>
  <mergeCells count="103">
    <mergeCell ref="A2:Y2"/>
    <mergeCell ref="D21:E21"/>
    <mergeCell ref="D22:E22"/>
    <mergeCell ref="D66:E66"/>
    <mergeCell ref="O12:V12"/>
    <mergeCell ref="O13:V13"/>
    <mergeCell ref="J18:N18"/>
    <mergeCell ref="G18:I18"/>
    <mergeCell ref="B4:H4"/>
    <mergeCell ref="V17:W17"/>
    <mergeCell ref="X17:Y17"/>
    <mergeCell ref="W12:W13"/>
    <mergeCell ref="V3:W3"/>
    <mergeCell ref="I7:N7"/>
    <mergeCell ref="O8:V8"/>
    <mergeCell ref="O9:V9"/>
    <mergeCell ref="O10:V10"/>
    <mergeCell ref="O11:V11"/>
    <mergeCell ref="O6:S6"/>
    <mergeCell ref="V18:W18"/>
    <mergeCell ref="X18:Y18"/>
    <mergeCell ref="T6:U6"/>
    <mergeCell ref="B102:Y102"/>
    <mergeCell ref="D32:E32"/>
    <mergeCell ref="D53:E53"/>
    <mergeCell ref="D35:E35"/>
    <mergeCell ref="D36:E36"/>
    <mergeCell ref="D33:E33"/>
    <mergeCell ref="D34:E34"/>
    <mergeCell ref="D42:E42"/>
    <mergeCell ref="D58:E58"/>
    <mergeCell ref="D99:E99"/>
    <mergeCell ref="D47:E47"/>
    <mergeCell ref="D63:E63"/>
    <mergeCell ref="D45:E45"/>
    <mergeCell ref="D46:E46"/>
    <mergeCell ref="D55:E55"/>
    <mergeCell ref="D56:E56"/>
    <mergeCell ref="D59:E59"/>
    <mergeCell ref="D60:E60"/>
    <mergeCell ref="D57:E57"/>
    <mergeCell ref="D61:E61"/>
    <mergeCell ref="D62:E62"/>
    <mergeCell ref="D78:E78"/>
    <mergeCell ref="D64:E64"/>
    <mergeCell ref="D65:E65"/>
    <mergeCell ref="D69:E69"/>
    <mergeCell ref="D70:E70"/>
    <mergeCell ref="D71:E71"/>
    <mergeCell ref="D72:E72"/>
    <mergeCell ref="D73:E73"/>
    <mergeCell ref="D74:E74"/>
    <mergeCell ref="D19:E19"/>
    <mergeCell ref="D31:E31"/>
    <mergeCell ref="D54:E54"/>
    <mergeCell ref="D49:E49"/>
    <mergeCell ref="D50:E50"/>
    <mergeCell ref="D51:E51"/>
    <mergeCell ref="D52:E52"/>
    <mergeCell ref="D41:E41"/>
    <mergeCell ref="D37:E37"/>
    <mergeCell ref="D38:E38"/>
    <mergeCell ref="D39:E39"/>
    <mergeCell ref="D40:E40"/>
    <mergeCell ref="D48:E48"/>
    <mergeCell ref="D43:E43"/>
    <mergeCell ref="D44:E44"/>
    <mergeCell ref="D20:E20"/>
    <mergeCell ref="D67:E67"/>
    <mergeCell ref="D68:E68"/>
    <mergeCell ref="D87:E87"/>
    <mergeCell ref="D88:E88"/>
    <mergeCell ref="D89:E89"/>
    <mergeCell ref="D80:E80"/>
    <mergeCell ref="D81:E81"/>
    <mergeCell ref="D82:E82"/>
    <mergeCell ref="D83:E83"/>
    <mergeCell ref="D84:E84"/>
    <mergeCell ref="D79:E79"/>
    <mergeCell ref="AG16:AG18"/>
    <mergeCell ref="B104:Y104"/>
    <mergeCell ref="D28:E28"/>
    <mergeCell ref="D29:E29"/>
    <mergeCell ref="D30:E30"/>
    <mergeCell ref="D23:E23"/>
    <mergeCell ref="D24:E24"/>
    <mergeCell ref="D25:E25"/>
    <mergeCell ref="D26:E26"/>
    <mergeCell ref="D27:E27"/>
    <mergeCell ref="D75:E75"/>
    <mergeCell ref="D76:E76"/>
    <mergeCell ref="D77:E77"/>
    <mergeCell ref="D98:E98"/>
    <mergeCell ref="D93:E93"/>
    <mergeCell ref="D94:E94"/>
    <mergeCell ref="D95:E95"/>
    <mergeCell ref="D96:E96"/>
    <mergeCell ref="D97:E97"/>
    <mergeCell ref="D90:E90"/>
    <mergeCell ref="D91:E91"/>
    <mergeCell ref="D92:E92"/>
    <mergeCell ref="D85:E85"/>
    <mergeCell ref="D86:E86"/>
  </mergeCells>
  <phoneticPr fontId="2" type="noConversion"/>
  <conditionalFormatting sqref="E133 E141:E143 E136:E139 E169:E171 E146:E155">
    <cfRule type="expression" dxfId="95" priority="511" stopIfTrue="1">
      <formula>F133=TRUE</formula>
    </cfRule>
  </conditionalFormatting>
  <conditionalFormatting sqref="BB20:BC99">
    <cfRule type="expression" dxfId="94" priority="495" stopIfTrue="1">
      <formula>AND(AI20=FALSE,AJ20&gt;0,LEN(BB20)&gt;0)</formula>
    </cfRule>
    <cfRule type="expression" dxfId="93" priority="515" stopIfTrue="1">
      <formula>AND(AJ20&gt;0,LEN(BB20)&gt;0)</formula>
    </cfRule>
  </conditionalFormatting>
  <conditionalFormatting sqref="T20:T99">
    <cfRule type="expression" dxfId="92" priority="672" stopIfTrue="1">
      <formula>OR(AI20&lt;&gt;TRUE,InputIssues&gt;0)</formula>
    </cfRule>
  </conditionalFormatting>
  <conditionalFormatting sqref="B20:B99">
    <cfRule type="expression" dxfId="91" priority="682" stopIfTrue="1">
      <formula>AI20=TRUE</formula>
    </cfRule>
  </conditionalFormatting>
  <conditionalFormatting sqref="F169:F171 F146:F155 F136:F139 AB148 F141:F143 F133">
    <cfRule type="cellIs" dxfId="90" priority="571" stopIfTrue="1" operator="equal">
      <formula>TRUE</formula>
    </cfRule>
  </conditionalFormatting>
  <conditionalFormatting sqref="G169:Z171">
    <cfRule type="cellIs" dxfId="89" priority="572" stopIfTrue="1" operator="notEqual">
      <formula>0</formula>
    </cfRule>
  </conditionalFormatting>
  <conditionalFormatting sqref="CC12:CD12 AK18 AM18:AX18">
    <cfRule type="cellIs" dxfId="88" priority="577" stopIfTrue="1" operator="greaterThan">
      <formula>0</formula>
    </cfRule>
  </conditionalFormatting>
  <conditionalFormatting sqref="CC6:CC7 CJ4">
    <cfRule type="cellIs" dxfId="87" priority="586" stopIfTrue="1" operator="lessThan">
      <formula>0</formula>
    </cfRule>
  </conditionalFormatting>
  <conditionalFormatting sqref="BI20:BL99 BP20:BQ99 CC20:CF99 BY20:CA99">
    <cfRule type="cellIs" dxfId="86" priority="579" stopIfTrue="1" operator="equal">
      <formula>0</formula>
    </cfRule>
  </conditionalFormatting>
  <conditionalFormatting sqref="BM20:BM99">
    <cfRule type="cellIs" dxfId="85" priority="580" stopIfTrue="1" operator="equal">
      <formula>FALSE</formula>
    </cfRule>
    <cfRule type="cellIs" dxfId="84" priority="581" stopIfTrue="1" operator="notEqual">
      <formula>0</formula>
    </cfRule>
  </conditionalFormatting>
  <conditionalFormatting sqref="CI20:CJ99">
    <cfRule type="cellIs" dxfId="83" priority="582" stopIfTrue="1" operator="equal">
      <formula>""</formula>
    </cfRule>
  </conditionalFormatting>
  <conditionalFormatting sqref="CG20:CH99">
    <cfRule type="cellIs" dxfId="82" priority="583" stopIfTrue="1" operator="equal">
      <formula>TRUE</formula>
    </cfRule>
  </conditionalFormatting>
  <conditionalFormatting sqref="BN20:BO99 BW20:BX99">
    <cfRule type="cellIs" dxfId="81" priority="584" stopIfTrue="1" operator="equal">
      <formula>0</formula>
    </cfRule>
    <cfRule type="cellIs" dxfId="80" priority="585" stopIfTrue="1" operator="equal">
      <formula>10</formula>
    </cfRule>
  </conditionalFormatting>
  <conditionalFormatting sqref="AI20:AI99 AY20:AZ99">
    <cfRule type="cellIs" dxfId="79" priority="587" stopIfTrue="1" operator="equal">
      <formula>TRUE</formula>
    </cfRule>
  </conditionalFormatting>
  <conditionalFormatting sqref="BE20:BF99">
    <cfRule type="cellIs" dxfId="78" priority="588" stopIfTrue="1" operator="equal">
      <formula>TRUE</formula>
    </cfRule>
  </conditionalFormatting>
  <conditionalFormatting sqref="BD20:BD99">
    <cfRule type="cellIs" dxfId="77" priority="589" stopIfTrue="1" operator="equal">
      <formula>TRUE</formula>
    </cfRule>
  </conditionalFormatting>
  <conditionalFormatting sqref="BA20:BA99">
    <cfRule type="cellIs" dxfId="76" priority="590" stopIfTrue="1" operator="notEqual">
      <formula>0</formula>
    </cfRule>
  </conditionalFormatting>
  <conditionalFormatting sqref="AO20:AQ99">
    <cfRule type="cellIs" dxfId="75" priority="594" stopIfTrue="1" operator="equal">
      <formula>TRUE</formula>
    </cfRule>
  </conditionalFormatting>
  <conditionalFormatting sqref="F164">
    <cfRule type="cellIs" dxfId="74" priority="575" stopIfTrue="1" operator="greaterThan">
      <formula>0</formula>
    </cfRule>
  </conditionalFormatting>
  <conditionalFormatting sqref="H140 H143 G139">
    <cfRule type="cellIs" dxfId="73" priority="573" stopIfTrue="1" operator="notEqual">
      <formula>0</formula>
    </cfRule>
  </conditionalFormatting>
  <conditionalFormatting sqref="G15">
    <cfRule type="expression" dxfId="72" priority="605" stopIfTrue="1">
      <formula>RowsPreferred&lt;&gt;RowsDisplayed</formula>
    </cfRule>
  </conditionalFormatting>
  <conditionalFormatting sqref="F15">
    <cfRule type="expression" dxfId="71" priority="651" stopIfTrue="1">
      <formula>ActiveHidden&gt;0</formula>
    </cfRule>
  </conditionalFormatting>
  <conditionalFormatting sqref="AH18:AJ18">
    <cfRule type="cellIs" dxfId="70" priority="591" stopIfTrue="1" operator="greaterThan">
      <formula>0</formula>
    </cfRule>
  </conditionalFormatting>
  <conditionalFormatting sqref="AH20:AH99 AJ20:AJ99">
    <cfRule type="cellIs" dxfId="69" priority="604" stopIfTrue="1" operator="notEqual">
      <formula>0</formula>
    </cfRule>
  </conditionalFormatting>
  <conditionalFormatting sqref="Y101">
    <cfRule type="expression" dxfId="68" priority="655" stopIfTrue="1">
      <formula>VisibleFailures&gt;0</formula>
    </cfRule>
    <cfRule type="expression" dxfId="67" priority="656" stopIfTrue="1">
      <formula>AND(AllInputsOK=TRUE,ShowPassCond=TRUE,ShowPassSHG=TRUE)</formula>
    </cfRule>
  </conditionalFormatting>
  <conditionalFormatting sqref="Y6:Y7">
    <cfRule type="expression" dxfId="66" priority="738" stopIfTrue="1">
      <formula>AND(Y6&lt;&gt;"",Y6&gt;0)</formula>
    </cfRule>
  </conditionalFormatting>
  <conditionalFormatting sqref="B14">
    <cfRule type="expression" dxfId="65" priority="602" stopIfTrue="1">
      <formula>VentsMissing=0</formula>
    </cfRule>
  </conditionalFormatting>
  <conditionalFormatting sqref="B19">
    <cfRule type="expression" dxfId="64" priority="743" stopIfTrue="1">
      <formula>OR(RowsPreferred&lt;&gt;RowsDisplayed,ActiveHidden&lt;&gt;0)</formula>
    </cfRule>
  </conditionalFormatting>
  <conditionalFormatting sqref="V19">
    <cfRule type="expression" dxfId="63" priority="746" stopIfTrue="1">
      <formula>AND(VisibleFailures&gt;0,FailedConductance&lt;&gt;0,InputIssues=0)</formula>
    </cfRule>
    <cfRule type="expression" dxfId="62" priority="747" stopIfTrue="1">
      <formula>ShowPassCond=TRUE</formula>
    </cfRule>
  </conditionalFormatting>
  <conditionalFormatting sqref="W19">
    <cfRule type="expression" dxfId="61" priority="749" stopIfTrue="1">
      <formula>AND(VisibleFailures&gt;0,FailedConductance&lt;&gt;0,inputiisues=0)</formula>
    </cfRule>
    <cfRule type="expression" dxfId="60" priority="750" stopIfTrue="1">
      <formula>ShowPassCond=TRUE</formula>
    </cfRule>
  </conditionalFormatting>
  <conditionalFormatting sqref="X19">
    <cfRule type="expression" dxfId="59" priority="752" stopIfTrue="1">
      <formula>AND(VisibleFailures&gt;0,FailedSHG&lt;&gt;0,InputIssues=0)</formula>
    </cfRule>
    <cfRule type="expression" dxfId="58" priority="753" stopIfTrue="1">
      <formula>ShowPassSHG=TRUE</formula>
    </cfRule>
  </conditionalFormatting>
  <conditionalFormatting sqref="Y19">
    <cfRule type="expression" dxfId="57" priority="755" stopIfTrue="1">
      <formula>AND(VisibleFailures&gt;0,FailedSHG&lt;&gt;0)</formula>
    </cfRule>
    <cfRule type="expression" dxfId="56" priority="756" stopIfTrue="1">
      <formula>ShowPassSHG=TRUE</formula>
    </cfRule>
  </conditionalFormatting>
  <conditionalFormatting sqref="V18:W18">
    <cfRule type="expression" dxfId="55" priority="759" stopIfTrue="1">
      <formula>AND(VisibleFailures&gt;0,FailedConductance&lt;&gt;0,AllInputsOK=TRUE)</formula>
    </cfRule>
    <cfRule type="expression" dxfId="54" priority="760" stopIfTrue="1">
      <formula>ShowPassCond=TRUE</formula>
    </cfRule>
  </conditionalFormatting>
  <conditionalFormatting sqref="X18:Y18">
    <cfRule type="expression" dxfId="53" priority="761" stopIfTrue="1">
      <formula>AND(VisibleFailures&gt;0,FailedSHG&lt;&gt;0,AllInputsOK=TRUE)</formula>
    </cfRule>
    <cfRule type="expression" dxfId="52" priority="762" stopIfTrue="1">
      <formula>ShowPassSHG=TRUE</formula>
    </cfRule>
  </conditionalFormatting>
  <conditionalFormatting sqref="B9:D11">
    <cfRule type="expression" dxfId="51" priority="763" stopIfTrue="1">
      <formula>AND(COUNTA(TableInputs)&gt;0,ISBLANK(Storey))</formula>
    </cfRule>
  </conditionalFormatting>
  <conditionalFormatting sqref="T4">
    <cfRule type="expression" dxfId="50" priority="765" stopIfTrue="1">
      <formula>NOT(ISBLANK($T$4))</formula>
    </cfRule>
  </conditionalFormatting>
  <conditionalFormatting sqref="AL20:AN99 AW20:AW99 AR20:AU99">
    <cfRule type="cellIs" dxfId="49" priority="778" stopIfTrue="1" operator="equal">
      <formula>TRUE</formula>
    </cfRule>
  </conditionalFormatting>
  <conditionalFormatting sqref="AK20:AK99">
    <cfRule type="cellIs" dxfId="48" priority="779" stopIfTrue="1" operator="equal">
      <formula>TRUE</formula>
    </cfRule>
  </conditionalFormatting>
  <conditionalFormatting sqref="B5:R5 B4">
    <cfRule type="expression" dxfId="47" priority="662" stopIfTrue="1">
      <formula>NOT(ISBLANK($B$4))</formula>
    </cfRule>
  </conditionalFormatting>
  <conditionalFormatting sqref="BG20">
    <cfRule type="cellIs" dxfId="46" priority="498" operator="equal">
      <formula>TRUE</formula>
    </cfRule>
  </conditionalFormatting>
  <conditionalFormatting sqref="BG21:BG99">
    <cfRule type="cellIs" dxfId="45" priority="497" operator="equal">
      <formula>TRUE</formula>
    </cfRule>
  </conditionalFormatting>
  <conditionalFormatting sqref="J9:J11">
    <cfRule type="expression" dxfId="44" priority="478" stopIfTrue="1">
      <formula>$F$148=TRUE</formula>
    </cfRule>
    <cfRule type="expression" dxfId="43" priority="496" stopIfTrue="1">
      <formula>OR(F154=TRUE,F155=TRUE)</formula>
    </cfRule>
  </conditionalFormatting>
  <conditionalFormatting sqref="Y20:Y99">
    <cfRule type="expression" dxfId="42" priority="784" stopIfTrue="1">
      <formula>OR(AI20=0,AK20=TRUE,InputIssues&gt;0)</formula>
    </cfRule>
    <cfRule type="expression" dxfId="41" priority="785" stopIfTrue="1">
      <formula>AND(BG20=TRUE,CH20=TRUE)</formula>
    </cfRule>
    <cfRule type="expression" dxfId="40" priority="786" stopIfTrue="1">
      <formula>AND(AI20=TRUE,ShowPassSHG=TRUE,InputIssues=0)</formula>
    </cfRule>
  </conditionalFormatting>
  <conditionalFormatting sqref="V20:V99">
    <cfRule type="expression" dxfId="39" priority="790" stopIfTrue="1">
      <formula>OR(AI20=0,AI20=FALSE,AK20=TRUE,InputIssues&gt;0)</formula>
    </cfRule>
    <cfRule type="expression" dxfId="38" priority="791" stopIfTrue="1">
      <formula>AND(BG20=TRUE,CG20=TRUE,InputsAlert="")</formula>
    </cfRule>
    <cfRule type="expression" dxfId="37" priority="792" stopIfTrue="1">
      <formula>AND(AI20=TRUE,ShowPassCond=TRUE,InputIssues=0)</formula>
    </cfRule>
  </conditionalFormatting>
  <conditionalFormatting sqref="W20:W99">
    <cfRule type="expression" dxfId="36" priority="793" stopIfTrue="1">
      <formula>OR(AI20=0,AI20=FALSE,AK20=TRUE,InputIssues&gt;0)</formula>
    </cfRule>
    <cfRule type="expression" dxfId="35" priority="794" stopIfTrue="1">
      <formula>AND(BG20=TRUE,CG20=TRUE,InputsAlert="")</formula>
    </cfRule>
    <cfRule type="expression" dxfId="34" priority="795" stopIfTrue="1">
      <formula>AND(AI20=TRUE,ShowPassCond=TRUE,InputIssues=0)</formula>
    </cfRule>
  </conditionalFormatting>
  <conditionalFormatting sqref="X20:X99">
    <cfRule type="expression" dxfId="33" priority="796" stopIfTrue="1">
      <formula>OR(AI20=0,AI20=FALSE,AK20=TRUE,InputIssues&gt;0)</formula>
    </cfRule>
    <cfRule type="expression" dxfId="32" priority="797" stopIfTrue="1">
      <formula>AND(BG20=TRUE,CH20=TRUE,InputsAlert="")</formula>
    </cfRule>
    <cfRule type="expression" dxfId="31" priority="798" stopIfTrue="1">
      <formula>AND(AI20=TRUE,ShowPassSHG=TRUE,InputIssues=0)</formula>
    </cfRule>
  </conditionalFormatting>
  <conditionalFormatting sqref="B12">
    <cfRule type="expression" dxfId="30" priority="488" stopIfTrue="1">
      <formula>VentPending=TRUE</formula>
    </cfRule>
    <cfRule type="expression" dxfId="29" priority="490" stopIfTrue="1">
      <formula>OrphanVent=TRUE</formula>
    </cfRule>
  </conditionalFormatting>
  <conditionalFormatting sqref="T3">
    <cfRule type="expression" dxfId="28" priority="487" stopIfTrue="1">
      <formula>F138=TRUE</formula>
    </cfRule>
    <cfRule type="expression" dxfId="27" priority="489" stopIfTrue="1">
      <formula>NoZoneTableActive=TRUE</formula>
    </cfRule>
  </conditionalFormatting>
  <conditionalFormatting sqref="F6">
    <cfRule type="expression" dxfId="26" priority="485" stopIfTrue="1">
      <formula>EmptyA=TRUE</formula>
    </cfRule>
    <cfRule type="expression" dxfId="25" priority="486" stopIfTrue="1">
      <formula>$F$147=TRUE</formula>
    </cfRule>
  </conditionalFormatting>
  <conditionalFormatting sqref="B17">
    <cfRule type="expression" dxfId="24" priority="484" stopIfTrue="1">
      <formula>AND(TopInputsOK=TRUE,TableEntries=COUNTA($D$20:$E$99))</formula>
    </cfRule>
  </conditionalFormatting>
  <conditionalFormatting sqref="AX20:AX99">
    <cfRule type="cellIs" dxfId="23" priority="481" operator="equal">
      <formula>TRUE</formula>
    </cfRule>
  </conditionalFormatting>
  <conditionalFormatting sqref="AV20:AV99">
    <cfRule type="cellIs" dxfId="22" priority="480" operator="equal">
      <formula>TRUE</formula>
    </cfRule>
  </conditionalFormatting>
  <conditionalFormatting sqref="G153">
    <cfRule type="expression" dxfId="21" priority="325" stopIfTrue="1">
      <formula>H153=TRUE</formula>
    </cfRule>
  </conditionalFormatting>
  <conditionalFormatting sqref="AH2">
    <cfRule type="expression" dxfId="20" priority="324" stopIfTrue="1">
      <formula>AI2=TRUE</formula>
    </cfRule>
  </conditionalFormatting>
  <conditionalFormatting sqref="AJ2">
    <cfRule type="expression" dxfId="19" priority="323" stopIfTrue="1">
      <formula>AK2=TRUE</formula>
    </cfRule>
  </conditionalFormatting>
  <conditionalFormatting sqref="C20:C99">
    <cfRule type="expression" dxfId="18" priority="843" stopIfTrue="1">
      <formula>AI20=TRUE</formula>
    </cfRule>
    <cfRule type="expression" dxfId="17" priority="844" stopIfTrue="1">
      <formula>OR(COUNTA(D20)&gt;0,AK20=TRUE)</formula>
    </cfRule>
  </conditionalFormatting>
  <conditionalFormatting sqref="S20:S99">
    <cfRule type="expression" dxfId="16" priority="845" stopIfTrue="1">
      <formula>OR(AI20&lt;&gt;TRUE,InputIssues&gt;0)</formula>
    </cfRule>
    <cfRule type="expression" dxfId="15" priority="846" stopIfTrue="1">
      <formula>AND(AY20=TRUE,OR(Q20="device",S20&gt;2))</formula>
    </cfRule>
    <cfRule type="expression" dxfId="14" priority="847" stopIfTrue="1">
      <formula>AND(AY20=TRUE,BD20=TRUE)</formula>
    </cfRule>
  </conditionalFormatting>
  <conditionalFormatting sqref="U20:U99">
    <cfRule type="expression" dxfId="13" priority="872" stopIfTrue="1">
      <formula>OR(AI20&lt;&gt;TRUE,InputIssues&gt;0)</formula>
    </cfRule>
    <cfRule type="expression" dxfId="12" priority="873" stopIfTrue="1">
      <formula>AND(AY20=TRUE,H20&gt;0,I20&gt;0,I20&lt;&gt;G20*H20)</formula>
    </cfRule>
  </conditionalFormatting>
  <conditionalFormatting sqref="BS20:BV99">
    <cfRule type="cellIs" dxfId="11" priority="33" stopIfTrue="1" operator="equal">
      <formula>0</formula>
    </cfRule>
  </conditionalFormatting>
  <conditionalFormatting sqref="K6">
    <cfRule type="expression" dxfId="10" priority="21">
      <formula>NOT(ISBLANK($K$6))</formula>
    </cfRule>
  </conditionalFormatting>
  <conditionalFormatting sqref="F7">
    <cfRule type="expression" dxfId="9" priority="20">
      <formula>NOT(ISBLANK($F$7))</formula>
    </cfRule>
  </conditionalFormatting>
  <conditionalFormatting sqref="F8">
    <cfRule type="expression" dxfId="8" priority="19">
      <formula>NOT(ISBLANK($F$8))</formula>
    </cfRule>
  </conditionalFormatting>
  <conditionalFormatting sqref="F12">
    <cfRule type="expression" dxfId="7" priority="18">
      <formula>NOT(ISBLANK($F$12))</formula>
    </cfRule>
  </conditionalFormatting>
  <conditionalFormatting sqref="D35:R99 F20:R34">
    <cfRule type="expression" dxfId="6" priority="14">
      <formula>$AI20=TRUE</formula>
    </cfRule>
  </conditionalFormatting>
  <conditionalFormatting sqref="P20:P99">
    <cfRule type="expression" dxfId="5" priority="10">
      <formula>$P20&gt;0.7</formula>
    </cfRule>
  </conditionalFormatting>
  <conditionalFormatting sqref="R20:R99">
    <cfRule type="expression" dxfId="4" priority="8">
      <formula>$Q20="device"</formula>
    </cfRule>
  </conditionalFormatting>
  <conditionalFormatting sqref="I20:I99">
    <cfRule type="expression" dxfId="3" priority="7">
      <formula>$G20*$H20&gt;$I20</formula>
    </cfRule>
  </conditionalFormatting>
  <conditionalFormatting sqref="H20:H99">
    <cfRule type="expression" dxfId="2" priority="6">
      <formula>AND($I20&lt;&gt;0,$G20*$H20&lt;$I20)</formula>
    </cfRule>
  </conditionalFormatting>
  <conditionalFormatting sqref="T6:U6">
    <cfRule type="expression" dxfId="1" priority="4">
      <formula>Zone=5</formula>
    </cfRule>
  </conditionalFormatting>
  <conditionalFormatting sqref="D20:E34">
    <cfRule type="expression" dxfId="0" priority="1">
      <formula>$AI20=TRUE</formula>
    </cfRule>
  </conditionalFormatting>
  <dataValidations xWindow="786" yWindow="604" count="27">
    <dataValidation type="custom" allowBlank="1" showInputMessage="1" showErrorMessage="1" errorTitle="Invalid entry" error="Width (if used) must be a number greater than zero. _x000a__x000a_Not needed when an Area has already been given. Clear Area if intending to specify Height and Width." promptTitle="Input width of window" prompt="This calculator allows you to enter the windows size parameters either by height and width or be height and area._x000a__x000a_Width is not needed when an Area has already been given (Width will be ignored if Area is greather than Height x Width)" sqref="H20:H99" xr:uid="{00000000-0002-0000-0000-000000000000}">
      <formula1>AND(H20&gt;0,COUNTA(I20)=0)</formula1>
    </dataValidation>
    <dataValidation type="decimal" allowBlank="1" showInputMessage="1" showErrorMessage="1" errorTitle="Invalid entry" error="Area (when given) must be a number greater than zero." promptTitle="Input for window Area" prompt="This calculator allows you to enter the windows size parameters either by height and width or be height and area._x000a__x000a_Area is not needed when Height and Width are given (and will be ignored if equal to or smaller than Height x Width)." sqref="I20:I99" xr:uid="{00000000-0002-0000-0000-00000100000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T5" xr:uid="{00000000-0002-0000-0000-000002000000}">
      <formula1>1</formula1>
      <formula2>8</formula2>
    </dataValidation>
    <dataValidation type="decimal" operator="greaterThan" allowBlank="1" showInputMessage="1" showErrorMessage="1" errorTitle="Invalid height" error="No extra credit for a shading edge at or below the base of the glazing._x000a__x000a_Enter a number greater than zero (eg. 0.001 or larger)" prompt="P is halved if H is more than the glazing height plus 0.5m" sqref="R20:R99" xr:uid="{00000000-0002-0000-0000-000003000000}">
      <formula1>0</formula1>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 sqref="P20:P99" xr:uid="{00000000-0002-0000-0000-00000400000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O20:O99" xr:uid="{00000000-0002-0000-0000-000005000000}">
      <formula1>0.5</formula1>
      <formula2>8</formula2>
    </dataValidation>
    <dataValidation type="whole" allowBlank="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8 F12" xr:uid="{00000000-0002-0000-0000-000006000000}">
      <formula1>0</formula1>
      <formula2>999</formula2>
    </dataValidation>
    <dataValidation type="decimal" operator="greaterThan" allowBlank="1" showErrorMessage="1" errorTitle="Invalid entry" error="Height (if used) must be a number greater than zero." sqref="G20:G99" xr:uid="{00000000-0002-0000-0000-000007000000}">
      <formula1>0</formula1>
    </dataValidation>
    <dataValidation type="whole" allowBlank="1" showErrorMessage="1" errorTitle="Invalid entry" error="Please select a number large enough to display all rows containing data but no more than 80 (the maximum available in the table)." sqref="F15" xr:uid="{00000000-0002-0000-0000-000008000000}">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Q20:Q99" xr:uid="{00000000-0002-0000-0000-000009000000}">
      <formula1>OR(AND(ISNUMBER(Q20),Q20&gt;=0),Q20="device")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F11" xr:uid="{00000000-0002-0000-0000-00000A000000}">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T19" xr:uid="{00000000-0002-0000-0000-00000B000000}">
      <formula1>ValidExposures</formula1>
    </dataValidation>
    <dataValidation allowBlank="1" showErrorMessage="1" errorTitle="Invalid entry" error="Select entry only from the drop down list." sqref="J12:K12" xr:uid="{E48DE628-812A-4F30-8DB2-5FF6B6E07514}"/>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23:F99" xr:uid="{00000000-0002-0000-0000-00000D000000}">
      <formula1>OrientationsA</formula1>
    </dataValidation>
    <dataValidation allowBlank="1" showInputMessage="1" showErrorMessage="1" errorTitle="Invalid entry" error="Select entry only from the drop down list." promptTitle="Wall insulation concessions" sqref="H12 J12:K12" xr:uid="{00000000-0002-0000-0000-00000E000000}"/>
    <dataValidation type="list" allowBlank="1" showErrorMessage="1" errorTitle="Invalid entry" error="Select from the drop down box. The only valid entries are Bedroom, Utility and Other. For an explanation of this, let the mouse hover over the column heading." sqref="J20:J99" xr:uid="{00000000-0002-0000-0000-00000F000000}">
      <formula1>_Bed_</formula1>
    </dataValidation>
    <dataValidation type="list" allowBlank="1" showErrorMessage="1" errorTitle="Invalid entry" error="Select from the drop down list to pick valid entries." sqref="K20:K99" xr:uid="{00000000-0002-0000-0000-000010000000}">
      <formula1>_Level_</formula1>
    </dataValidation>
    <dataValidation type="list" allowBlank="1" showErrorMessage="1" errorTitle="Invalid entry" error="Select the type of floor covering from the drop down list. If you type in a covering and it doesn't match the list, this error message will display." sqref="L20:L99" xr:uid="{00000000-0002-0000-0000-000011000000}">
      <formula1>_Hard_</formula1>
    </dataValidation>
    <dataValidation type="list" allowBlank="1" showErrorMessage="1" errorTitle="Invalid entry" error="The only possible entries are Dark, Medium or Light." sqref="M20:M99" xr:uid="{00000000-0002-0000-0000-000012000000}">
      <formula1>_F_</formula1>
    </dataValidation>
    <dataValidation type="list" allowBlank="1" showErrorMessage="1" errorTitle="Invalid entry" error="If you have entered a % openability, it must be a multiple of 5% from 0% to 90%." sqref="N20:N99" xr:uid="{00000000-0002-0000-0000-000013000000}">
      <formula1>_Open_</formula1>
    </dataValidation>
    <dataValidation type="whole" allowBlank="1" showInputMessage="1" showErrorMessage="1" errorTitle="Invalid entry" error="'Floor area' must be a whole number greater than zero. (No decimal places.)_x000a_Do not type the 'm²' label." promptTitle="Direct contact =" sqref="F7" xr:uid="{00000000-0002-0000-0000-000014000000}">
      <formula1>1</formula1>
      <formula2>999</formula2>
    </dataValidation>
    <dataValidation type="list" allowBlank="1" showInputMessage="1" showErrorMessage="1" sqref="K6" xr:uid="{00000000-0002-0000-0000-000015000000}">
      <formula1>Storeys</formula1>
    </dataValidation>
    <dataValidation allowBlank="1" showErrorMessage="1" sqref="CM18" xr:uid="{00000000-0002-0000-0000-000017000000}"/>
    <dataValidation type="list" allowBlank="1" showInputMessage="1" showErrorMessage="1" sqref="F20:F22" xr:uid="{00000000-0002-0000-0000-000018000000}">
      <formula1>$F$158:$M$158</formula1>
    </dataValidation>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E12" xr:uid="{00000000-0002-0000-0000-000019000000}">
      <formula1>AND(AND(MultipleAir&gt;=1,MultipleAir&lt;=2),OR(SuffixAir="Std",SuffixAir="High"))</formula1>
    </dataValidation>
    <dataValidation type="list" showErrorMessage="1" errorTitle="Invalid climate zone number" error="Only whole numbers between 1 and 8 (for climate zones 1-8) are permitted." promptTitle="BCA Climate Zone" prompt="Enter a whole number between 1 and 8." sqref="T4" xr:uid="{00000000-0002-0000-0000-00001A000000}">
      <formula1>_Climate_List_</formula1>
    </dataValidation>
    <dataValidation type="list" allowBlank="1" showInputMessage="1" showErrorMessage="1" sqref="T6" xr:uid="{BEAF9CE9-76F7-4ABE-AC0C-3CED66C4BACE}">
      <formula1>Brick_Cavity</formula1>
    </dataValidation>
  </dataValidations>
  <printOptions horizontalCentered="1"/>
  <pageMargins left="0.23622047244094491" right="0.23622047244094491" top="0.74803149606299213" bottom="0.74803149606299213" header="0.31496062992125984" footer="0.31496062992125984"/>
  <pageSetup paperSize="9" scale="37" orientation="landscape" r:id="rId1"/>
  <headerFooter>
    <oddHeader>&amp;L&amp;"Inter,Italic"Report from &amp;F&amp;R&amp;"Inter,Italic"Printed &amp;D</oddHeader>
    <oddFooter>&amp;R&amp;"Inter,Italic"page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70"/>
  <sheetViews>
    <sheetView topLeftCell="K4"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34" t="s">
        <v>328</v>
      </c>
      <c r="B1" s="265" t="s">
        <v>329</v>
      </c>
      <c r="M1" s="827" t="s">
        <v>358</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0.82799999999999996</v>
      </c>
      <c r="E3" s="273">
        <v>1.1304999999999998</v>
      </c>
      <c r="F3" s="273">
        <v>1.0499999999999998</v>
      </c>
      <c r="G3" s="273">
        <v>0.6825</v>
      </c>
      <c r="H3" s="273">
        <v>0.3135</v>
      </c>
      <c r="I3" s="273">
        <v>0.98999999999999988</v>
      </c>
      <c r="J3" s="273">
        <v>1.8995</v>
      </c>
      <c r="K3" s="274">
        <v>1.456</v>
      </c>
      <c r="S3" s="190"/>
      <c r="T3" s="190"/>
      <c r="U3" s="190"/>
    </row>
    <row r="4" spans="1:21" ht="13" x14ac:dyDescent="0.25">
      <c r="B4" s="275">
        <v>105</v>
      </c>
      <c r="C4" s="276">
        <v>0.05</v>
      </c>
      <c r="D4" s="276">
        <v>0.7014999999999999</v>
      </c>
      <c r="E4" s="276">
        <v>1.0449999999999999</v>
      </c>
      <c r="F4" s="276">
        <v>0.98249999999999993</v>
      </c>
      <c r="G4" s="276">
        <v>0.63049999999999995</v>
      </c>
      <c r="H4" s="276">
        <v>0.26950000000000002</v>
      </c>
      <c r="I4" s="276">
        <v>0.90999999999999992</v>
      </c>
      <c r="J4" s="276">
        <v>1.7689999999999999</v>
      </c>
      <c r="K4" s="277">
        <v>1.3259999999999998</v>
      </c>
      <c r="M4" s="304" t="s">
        <v>334</v>
      </c>
      <c r="N4" s="271" t="s">
        <v>335</v>
      </c>
      <c r="P4" s="304" t="s">
        <v>336</v>
      </c>
      <c r="Q4" s="271" t="s">
        <v>337</v>
      </c>
      <c r="S4" s="190"/>
      <c r="T4" s="190"/>
      <c r="U4" s="190"/>
    </row>
    <row r="5" spans="1:21" x14ac:dyDescent="0.25">
      <c r="B5" s="272">
        <v>210</v>
      </c>
      <c r="C5" s="273">
        <v>0.1</v>
      </c>
      <c r="D5" s="273">
        <v>0.64400000000000002</v>
      </c>
      <c r="E5" s="273">
        <v>0.94999999999999984</v>
      </c>
      <c r="F5" s="273">
        <v>0.92999999999999994</v>
      </c>
      <c r="G5" s="273">
        <v>0.59150000000000003</v>
      </c>
      <c r="H5" s="273">
        <v>0.253</v>
      </c>
      <c r="I5" s="273">
        <v>0.84999999999999987</v>
      </c>
      <c r="J5" s="273">
        <v>1.6964999999999999</v>
      </c>
      <c r="K5" s="274">
        <v>1.2219999999999998</v>
      </c>
      <c r="M5" s="278" t="s">
        <v>338</v>
      </c>
      <c r="N5" s="279">
        <v>0.35</v>
      </c>
      <c r="P5" s="278" t="s">
        <v>339</v>
      </c>
      <c r="Q5" s="280">
        <v>6.0398408072358876E-2</v>
      </c>
      <c r="S5" s="190"/>
      <c r="T5" s="190"/>
      <c r="U5" s="190"/>
    </row>
    <row r="6" spans="1:21" x14ac:dyDescent="0.25">
      <c r="B6" s="275">
        <v>420</v>
      </c>
      <c r="C6" s="276">
        <v>0.2</v>
      </c>
      <c r="D6" s="276">
        <v>0.49449999999999994</v>
      </c>
      <c r="E6" s="276">
        <v>0.82650000000000001</v>
      </c>
      <c r="F6" s="276">
        <v>0.84</v>
      </c>
      <c r="G6" s="276">
        <v>0.53299999999999992</v>
      </c>
      <c r="H6" s="276">
        <v>0.22550000000000001</v>
      </c>
      <c r="I6" s="276">
        <v>0.76</v>
      </c>
      <c r="J6" s="276">
        <v>1.5225</v>
      </c>
      <c r="K6" s="277">
        <v>1.0529999999999999</v>
      </c>
      <c r="M6" s="281" t="s">
        <v>340</v>
      </c>
      <c r="N6" s="282">
        <v>1.1000000000000001</v>
      </c>
      <c r="P6" s="281" t="s">
        <v>341</v>
      </c>
      <c r="Q6" s="283">
        <v>6.2590889275366393E-2</v>
      </c>
      <c r="S6" s="190"/>
      <c r="T6" s="190"/>
      <c r="U6" s="190"/>
    </row>
    <row r="7" spans="1:21" x14ac:dyDescent="0.25">
      <c r="B7" s="272">
        <v>840</v>
      </c>
      <c r="C7" s="273">
        <v>0.4</v>
      </c>
      <c r="D7" s="273">
        <v>0.34499999999999997</v>
      </c>
      <c r="E7" s="273">
        <v>0.62699999999999989</v>
      </c>
      <c r="F7" s="273">
        <v>0.69</v>
      </c>
      <c r="G7" s="273">
        <v>0.43550000000000005</v>
      </c>
      <c r="H7" s="273">
        <v>0.18700000000000003</v>
      </c>
      <c r="I7" s="273">
        <v>0.62</v>
      </c>
      <c r="J7" s="273">
        <v>1.2324999999999999</v>
      </c>
      <c r="K7" s="274">
        <v>0.80599999999999983</v>
      </c>
      <c r="L7" s="266" t="s">
        <v>342</v>
      </c>
      <c r="M7" s="278" t="s">
        <v>343</v>
      </c>
      <c r="N7" s="284">
        <v>1.1877012868494365</v>
      </c>
      <c r="P7" s="278" t="s">
        <v>344</v>
      </c>
      <c r="Q7" s="280">
        <v>6.4052543410704738E-2</v>
      </c>
      <c r="S7" s="190"/>
      <c r="T7" s="190"/>
      <c r="U7" s="190"/>
    </row>
    <row r="8" spans="1:21" x14ac:dyDescent="0.25">
      <c r="B8" s="275">
        <v>1260</v>
      </c>
      <c r="C8" s="276">
        <v>0.6</v>
      </c>
      <c r="D8" s="276">
        <v>0.31050000000000005</v>
      </c>
      <c r="E8" s="276">
        <v>0.47499999999999992</v>
      </c>
      <c r="F8" s="276">
        <v>0.55499999999999994</v>
      </c>
      <c r="G8" s="276">
        <v>0.36399999999999999</v>
      </c>
      <c r="H8" s="276">
        <v>0.1595</v>
      </c>
      <c r="I8" s="276">
        <v>0.52999999999999992</v>
      </c>
      <c r="J8" s="276">
        <v>1.0439999999999998</v>
      </c>
      <c r="K8" s="277">
        <v>0.58499999999999996</v>
      </c>
      <c r="L8" s="266" t="s">
        <v>345</v>
      </c>
      <c r="M8" s="281" t="s">
        <v>346</v>
      </c>
      <c r="N8" s="285">
        <v>1</v>
      </c>
      <c r="P8" s="286" t="s">
        <v>347</v>
      </c>
      <c r="Q8" s="287">
        <v>6.502697950093031E-2</v>
      </c>
      <c r="S8" s="190"/>
      <c r="T8" s="190"/>
      <c r="U8" s="190"/>
    </row>
    <row r="9" spans="1:21" x14ac:dyDescent="0.25">
      <c r="B9" s="272">
        <v>1680</v>
      </c>
      <c r="C9" s="273">
        <v>0.8</v>
      </c>
      <c r="D9" s="273">
        <v>0.27599999999999997</v>
      </c>
      <c r="E9" s="273">
        <v>0.36099999999999999</v>
      </c>
      <c r="F9" s="273">
        <v>0.47249999999999992</v>
      </c>
      <c r="G9" s="273">
        <v>0.31849999999999995</v>
      </c>
      <c r="H9" s="273">
        <v>0.13750000000000001</v>
      </c>
      <c r="I9" s="273">
        <v>0.45</v>
      </c>
      <c r="J9" s="273">
        <v>0.85549999999999993</v>
      </c>
      <c r="K9" s="274">
        <v>0.46799999999999992</v>
      </c>
      <c r="L9" s="266" t="s">
        <v>348</v>
      </c>
      <c r="M9" s="278" t="s">
        <v>349</v>
      </c>
      <c r="N9" s="284">
        <v>0.8844579281689926</v>
      </c>
      <c r="S9" s="190"/>
      <c r="T9" s="190"/>
      <c r="U9" s="190"/>
    </row>
    <row r="10" spans="1:21" x14ac:dyDescent="0.25">
      <c r="B10" s="275">
        <v>2100</v>
      </c>
      <c r="C10" s="276">
        <v>1</v>
      </c>
      <c r="D10" s="276">
        <v>0.23</v>
      </c>
      <c r="E10" s="276">
        <v>0.29449999999999998</v>
      </c>
      <c r="F10" s="276">
        <v>0.41249999999999998</v>
      </c>
      <c r="G10" s="276">
        <v>0.27299999999999996</v>
      </c>
      <c r="H10" s="276">
        <v>0.12100000000000001</v>
      </c>
      <c r="I10" s="276">
        <v>0.39</v>
      </c>
      <c r="J10" s="276">
        <v>0.73949999999999994</v>
      </c>
      <c r="K10" s="277">
        <v>0.38999999999999996</v>
      </c>
      <c r="M10" s="286" t="s">
        <v>350</v>
      </c>
      <c r="N10" s="288">
        <v>0.91</v>
      </c>
      <c r="S10" s="190"/>
      <c r="T10" s="190"/>
      <c r="U10" s="190"/>
    </row>
    <row r="11" spans="1:21" x14ac:dyDescent="0.25">
      <c r="B11" s="272">
        <v>2520</v>
      </c>
      <c r="C11" s="273">
        <v>1.2</v>
      </c>
      <c r="D11" s="273">
        <v>0.2185</v>
      </c>
      <c r="E11" s="273">
        <v>0.247</v>
      </c>
      <c r="F11" s="273">
        <v>0.34499999999999997</v>
      </c>
      <c r="G11" s="273">
        <v>0.24049999999999996</v>
      </c>
      <c r="H11" s="273">
        <v>0.11000000000000001</v>
      </c>
      <c r="I11" s="273">
        <v>0.35</v>
      </c>
      <c r="J11" s="273">
        <v>0.65249999999999997</v>
      </c>
      <c r="K11" s="274">
        <v>0.32499999999999996</v>
      </c>
      <c r="M11" s="267" t="s">
        <v>351</v>
      </c>
      <c r="S11" s="190"/>
      <c r="T11" s="190"/>
      <c r="U11" s="190"/>
    </row>
    <row r="12" spans="1:21" x14ac:dyDescent="0.25">
      <c r="B12" s="275">
        <v>2940</v>
      </c>
      <c r="C12" s="276">
        <v>1.4</v>
      </c>
      <c r="D12" s="276">
        <v>0.184</v>
      </c>
      <c r="E12" s="276">
        <v>0.21849999999999997</v>
      </c>
      <c r="F12" s="276">
        <v>0.29249999999999998</v>
      </c>
      <c r="G12" s="276">
        <v>0.221</v>
      </c>
      <c r="H12" s="276">
        <v>9.3500000000000014E-2</v>
      </c>
      <c r="I12" s="276">
        <v>0.33</v>
      </c>
      <c r="J12" s="276">
        <v>0.55099999999999993</v>
      </c>
      <c r="K12" s="277">
        <v>0.27299999999999996</v>
      </c>
      <c r="S12" s="190"/>
      <c r="T12" s="190"/>
      <c r="U12" s="190"/>
    </row>
    <row r="13" spans="1:21" x14ac:dyDescent="0.25">
      <c r="B13" s="272">
        <v>3360</v>
      </c>
      <c r="C13" s="273">
        <v>1.6</v>
      </c>
      <c r="D13" s="273">
        <v>0.184</v>
      </c>
      <c r="E13" s="273">
        <v>0.18999999999999997</v>
      </c>
      <c r="F13" s="273">
        <v>0.28499999999999998</v>
      </c>
      <c r="G13" s="273">
        <v>0.19499999999999998</v>
      </c>
      <c r="H13" s="273">
        <v>8.8000000000000009E-2</v>
      </c>
      <c r="I13" s="273">
        <v>0.28999999999999998</v>
      </c>
      <c r="J13" s="273">
        <v>0.47849999999999993</v>
      </c>
      <c r="K13" s="274">
        <v>0.26</v>
      </c>
      <c r="M13" s="286" t="s">
        <v>350</v>
      </c>
      <c r="N13" s="288">
        <v>0.89</v>
      </c>
    </row>
    <row r="14" spans="1:21" ht="13" thickBot="1" x14ac:dyDescent="0.3">
      <c r="B14" s="275">
        <v>3780</v>
      </c>
      <c r="C14" s="276">
        <v>1.8</v>
      </c>
      <c r="D14" s="276">
        <v>0.161</v>
      </c>
      <c r="E14" s="276">
        <v>0.17099999999999996</v>
      </c>
      <c r="F14" s="276">
        <v>0.24</v>
      </c>
      <c r="G14" s="276">
        <v>0.17550000000000002</v>
      </c>
      <c r="H14" s="276">
        <v>7.7000000000000013E-2</v>
      </c>
      <c r="I14" s="276">
        <v>0.24999999999999997</v>
      </c>
      <c r="J14" s="276">
        <v>0.46399999999999997</v>
      </c>
      <c r="K14" s="277">
        <v>0.22099999999999997</v>
      </c>
      <c r="M14" s="267" t="s">
        <v>352</v>
      </c>
    </row>
    <row r="15" spans="1:21" x14ac:dyDescent="0.25">
      <c r="B15" s="289">
        <v>4200</v>
      </c>
      <c r="C15" s="290">
        <v>2</v>
      </c>
      <c r="D15" s="290">
        <v>0.14950000000000002</v>
      </c>
      <c r="E15" s="290">
        <v>0.1615</v>
      </c>
      <c r="F15" s="290">
        <v>0.21</v>
      </c>
      <c r="G15" s="290">
        <v>0.14949999999999999</v>
      </c>
      <c r="H15" s="290">
        <v>7.7000000000000013E-2</v>
      </c>
      <c r="I15" s="290">
        <v>0.24</v>
      </c>
      <c r="J15" s="290">
        <v>0.377</v>
      </c>
      <c r="K15" s="291">
        <v>0.20799999999999999</v>
      </c>
      <c r="L15" s="292" t="s">
        <v>342</v>
      </c>
      <c r="M15" s="293" t="s">
        <v>343</v>
      </c>
      <c r="N15" s="294">
        <v>1.1877012868494365</v>
      </c>
    </row>
    <row r="16" spans="1:21" x14ac:dyDescent="0.25">
      <c r="L16" s="295" t="s">
        <v>348</v>
      </c>
      <c r="M16" s="296" t="s">
        <v>349</v>
      </c>
      <c r="N16" s="297">
        <v>0.8844579281689926</v>
      </c>
    </row>
    <row r="17" spans="1:27" ht="13" thickBot="1" x14ac:dyDescent="0.3">
      <c r="L17" s="298" t="s">
        <v>345</v>
      </c>
      <c r="M17" s="299" t="s">
        <v>346</v>
      </c>
      <c r="N17" s="300">
        <v>1</v>
      </c>
    </row>
    <row r="18" spans="1:27" x14ac:dyDescent="0.25">
      <c r="A18" s="334" t="s">
        <v>359</v>
      </c>
      <c r="B18" s="265" t="s">
        <v>360</v>
      </c>
      <c r="M18" s="827" t="s">
        <v>358</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1.4775</v>
      </c>
      <c r="E21" s="273">
        <v>1.3967500000000002</v>
      </c>
      <c r="F21" s="273">
        <v>0.91300000000000003</v>
      </c>
      <c r="G21" s="273">
        <v>0.46800000000000003</v>
      </c>
      <c r="H21" s="273">
        <v>0.45499999999999996</v>
      </c>
      <c r="I21" s="273">
        <v>0.50700000000000001</v>
      </c>
      <c r="J21" s="273">
        <v>1.105</v>
      </c>
      <c r="K21" s="274">
        <v>1.5682499999999999</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1.4475</v>
      </c>
      <c r="E22" s="276">
        <v>1.3412500000000003</v>
      </c>
      <c r="F22" s="276">
        <v>0.83600000000000008</v>
      </c>
      <c r="G22" s="276">
        <v>0.39600000000000002</v>
      </c>
      <c r="H22" s="276">
        <v>0.37699999999999995</v>
      </c>
      <c r="I22" s="276">
        <v>0.42899999999999999</v>
      </c>
      <c r="J22" s="276">
        <v>1.0269999999999999</v>
      </c>
      <c r="K22" s="277">
        <v>1.5067499999999998</v>
      </c>
      <c r="M22" s="278" t="s">
        <v>338</v>
      </c>
      <c r="N22" s="279">
        <v>0.6</v>
      </c>
      <c r="P22" s="301">
        <v>1.1499999999999999</v>
      </c>
      <c r="Q22" s="301">
        <v>0.92499999999999993</v>
      </c>
      <c r="R22" s="301">
        <v>0.7</v>
      </c>
      <c r="S22" s="301">
        <v>0.75</v>
      </c>
      <c r="T22" s="301">
        <v>0.8</v>
      </c>
      <c r="U22" s="301">
        <v>0.8</v>
      </c>
      <c r="V22" s="301">
        <v>0.8</v>
      </c>
      <c r="W22" s="301">
        <v>0.97499999999999998</v>
      </c>
      <c r="Y22" s="190"/>
      <c r="Z22" s="190"/>
      <c r="AA22" s="190"/>
    </row>
    <row r="23" spans="1:27" x14ac:dyDescent="0.25">
      <c r="B23" s="272">
        <v>210</v>
      </c>
      <c r="C23" s="273">
        <v>0.1</v>
      </c>
      <c r="D23" s="273">
        <v>1.4325000000000001</v>
      </c>
      <c r="E23" s="273">
        <v>1.2950000000000002</v>
      </c>
      <c r="F23" s="273">
        <v>0.81400000000000006</v>
      </c>
      <c r="G23" s="273">
        <v>0.372</v>
      </c>
      <c r="H23" s="273">
        <v>0.36400000000000005</v>
      </c>
      <c r="I23" s="273">
        <v>0.40299999999999997</v>
      </c>
      <c r="J23" s="273">
        <v>0.97499999999999998</v>
      </c>
      <c r="K23" s="274">
        <v>1.4554999999999998</v>
      </c>
      <c r="M23" s="281" t="s">
        <v>340</v>
      </c>
      <c r="N23" s="282">
        <v>1.3</v>
      </c>
      <c r="O23" s="267" t="s">
        <v>364</v>
      </c>
      <c r="P23" s="302">
        <v>1.2649999999999999</v>
      </c>
      <c r="Q23" s="302">
        <v>1.0175000000000001</v>
      </c>
      <c r="R23" s="302">
        <v>0.77</v>
      </c>
      <c r="S23" s="302">
        <v>0.82500000000000007</v>
      </c>
      <c r="T23" s="302">
        <v>0.88000000000000012</v>
      </c>
      <c r="U23" s="302">
        <v>0.88000000000000012</v>
      </c>
      <c r="V23" s="302">
        <v>0.88000000000000012</v>
      </c>
      <c r="W23" s="302">
        <v>1.0725</v>
      </c>
      <c r="Y23" s="190"/>
      <c r="Z23" s="190"/>
      <c r="AA23" s="190"/>
    </row>
    <row r="24" spans="1:27" x14ac:dyDescent="0.25">
      <c r="B24" s="275">
        <v>420</v>
      </c>
      <c r="C24" s="276">
        <v>0.2</v>
      </c>
      <c r="D24" s="276">
        <v>1.2150000000000001</v>
      </c>
      <c r="E24" s="276">
        <v>1.1840000000000002</v>
      </c>
      <c r="F24" s="276">
        <v>0.7370000000000001</v>
      </c>
      <c r="G24" s="276">
        <v>0.33600000000000002</v>
      </c>
      <c r="H24" s="276">
        <v>0.32499999999999996</v>
      </c>
      <c r="I24" s="276">
        <v>0.36399999999999999</v>
      </c>
      <c r="J24" s="276">
        <v>0.88400000000000001</v>
      </c>
      <c r="K24" s="277">
        <v>1.3120000000000001</v>
      </c>
      <c r="M24" s="278" t="s">
        <v>365</v>
      </c>
      <c r="N24" s="279">
        <v>1.1000000000000001</v>
      </c>
      <c r="Y24" s="190"/>
      <c r="Z24" s="190"/>
      <c r="AA24" s="190"/>
    </row>
    <row r="25" spans="1:27" x14ac:dyDescent="0.25">
      <c r="B25" s="272">
        <v>840</v>
      </c>
      <c r="C25" s="273">
        <v>0.4</v>
      </c>
      <c r="D25" s="273">
        <v>1.1100000000000001</v>
      </c>
      <c r="E25" s="273">
        <v>1.0082500000000001</v>
      </c>
      <c r="F25" s="273">
        <v>0.6160000000000001</v>
      </c>
      <c r="G25" s="273">
        <v>0.28799999999999998</v>
      </c>
      <c r="H25" s="273">
        <v>0.28600000000000003</v>
      </c>
      <c r="I25" s="273">
        <v>0.31199999999999994</v>
      </c>
      <c r="J25" s="273">
        <v>0.754</v>
      </c>
      <c r="K25" s="274">
        <v>1.1274999999999999</v>
      </c>
      <c r="M25" s="281" t="s">
        <v>366</v>
      </c>
      <c r="N25" s="282">
        <v>0.7</v>
      </c>
      <c r="P25" s="265" t="s">
        <v>367</v>
      </c>
      <c r="Y25" s="190"/>
      <c r="Z25" s="190"/>
      <c r="AA25" s="190"/>
    </row>
    <row r="26" spans="1:27" x14ac:dyDescent="0.25">
      <c r="B26" s="275">
        <v>1260</v>
      </c>
      <c r="C26" s="276">
        <v>0.6</v>
      </c>
      <c r="D26" s="276">
        <v>0.91499999999999992</v>
      </c>
      <c r="E26" s="276">
        <v>0.83250000000000013</v>
      </c>
      <c r="F26" s="276">
        <v>0.53900000000000003</v>
      </c>
      <c r="G26" s="276">
        <v>0.252</v>
      </c>
      <c r="H26" s="276">
        <v>0.247</v>
      </c>
      <c r="I26" s="276">
        <v>0.27299999999999996</v>
      </c>
      <c r="J26" s="276">
        <v>0.6369999999999999</v>
      </c>
      <c r="K26" s="277">
        <v>0.92249999999999999</v>
      </c>
      <c r="L26" s="266" t="s">
        <v>342</v>
      </c>
      <c r="M26" s="278" t="s">
        <v>343</v>
      </c>
      <c r="N26" s="284">
        <v>1.0409384708681515</v>
      </c>
      <c r="Y26" s="190"/>
      <c r="Z26" s="190"/>
      <c r="AA26" s="190"/>
    </row>
    <row r="27" spans="1:27" ht="13" x14ac:dyDescent="0.25">
      <c r="B27" s="272">
        <v>1680</v>
      </c>
      <c r="C27" s="273">
        <v>0.8</v>
      </c>
      <c r="D27" s="273">
        <v>0.79500000000000015</v>
      </c>
      <c r="E27" s="273">
        <v>0.68450000000000011</v>
      </c>
      <c r="F27" s="273">
        <v>0.47300000000000003</v>
      </c>
      <c r="G27" s="273">
        <v>0.22800000000000001</v>
      </c>
      <c r="H27" s="273">
        <v>0.23400000000000001</v>
      </c>
      <c r="I27" s="273">
        <v>0.247</v>
      </c>
      <c r="J27" s="273">
        <v>0.57200000000000006</v>
      </c>
      <c r="K27" s="274">
        <v>0.76874999999999993</v>
      </c>
      <c r="L27" s="266" t="s">
        <v>345</v>
      </c>
      <c r="M27" s="281" t="s">
        <v>346</v>
      </c>
      <c r="N27" s="285">
        <v>1</v>
      </c>
      <c r="P27" s="317" t="s">
        <v>380</v>
      </c>
      <c r="Y27" s="190"/>
      <c r="Z27" s="190"/>
      <c r="AA27" s="190"/>
    </row>
    <row r="28" spans="1:27" x14ac:dyDescent="0.25">
      <c r="B28" s="275">
        <v>2100</v>
      </c>
      <c r="C28" s="276">
        <v>1</v>
      </c>
      <c r="D28" s="276">
        <v>0.63750000000000007</v>
      </c>
      <c r="E28" s="276">
        <v>0.61050000000000004</v>
      </c>
      <c r="F28" s="276">
        <v>0.40700000000000003</v>
      </c>
      <c r="G28" s="276">
        <v>0.20400000000000001</v>
      </c>
      <c r="H28" s="276">
        <v>0.20799999999999999</v>
      </c>
      <c r="I28" s="276">
        <v>0.221</v>
      </c>
      <c r="J28" s="276">
        <v>0.48099999999999998</v>
      </c>
      <c r="K28" s="277">
        <v>0.65600000000000003</v>
      </c>
      <c r="L28" s="266" t="s">
        <v>348</v>
      </c>
      <c r="M28" s="278" t="s">
        <v>349</v>
      </c>
      <c r="N28" s="284">
        <v>0.97625430893937937</v>
      </c>
      <c r="P28" s="303">
        <v>10.2487168088355</v>
      </c>
      <c r="Y28" s="190"/>
      <c r="Z28" s="190"/>
      <c r="AA28" s="190"/>
    </row>
    <row r="29" spans="1:27" x14ac:dyDescent="0.25">
      <c r="B29" s="272">
        <v>2520</v>
      </c>
      <c r="C29" s="273">
        <v>1.2</v>
      </c>
      <c r="D29" s="273">
        <v>0.45749999999999996</v>
      </c>
      <c r="E29" s="273">
        <v>0.47175000000000006</v>
      </c>
      <c r="F29" s="273">
        <v>0.36300000000000004</v>
      </c>
      <c r="G29" s="273">
        <v>0.18</v>
      </c>
      <c r="H29" s="273">
        <v>0.20799999999999999</v>
      </c>
      <c r="I29" s="273">
        <v>0.20799999999999999</v>
      </c>
      <c r="J29" s="273">
        <v>0.442</v>
      </c>
      <c r="K29" s="274">
        <v>0.57400000000000007</v>
      </c>
      <c r="M29" s="286" t="s">
        <v>369</v>
      </c>
      <c r="N29" s="288">
        <v>1.03</v>
      </c>
      <c r="Y29" s="190"/>
      <c r="Z29" s="190"/>
      <c r="AA29" s="190"/>
    </row>
    <row r="30" spans="1:27" x14ac:dyDescent="0.25">
      <c r="B30" s="275">
        <v>2940</v>
      </c>
      <c r="C30" s="276">
        <v>1.4</v>
      </c>
      <c r="D30" s="276">
        <v>0.35249999999999998</v>
      </c>
      <c r="E30" s="276">
        <v>0.43475000000000003</v>
      </c>
      <c r="F30" s="276">
        <v>0.33</v>
      </c>
      <c r="G30" s="276">
        <v>0.16800000000000001</v>
      </c>
      <c r="H30" s="276">
        <v>0.19500000000000001</v>
      </c>
      <c r="I30" s="276">
        <v>0.19499999999999998</v>
      </c>
      <c r="J30" s="276">
        <v>0.39</v>
      </c>
      <c r="K30" s="277">
        <v>0.4817499999999999</v>
      </c>
      <c r="M30" s="267" t="s">
        <v>351</v>
      </c>
    </row>
    <row r="31" spans="1:27" x14ac:dyDescent="0.25">
      <c r="B31" s="272">
        <v>3360</v>
      </c>
      <c r="C31" s="273">
        <v>1.6</v>
      </c>
      <c r="D31" s="273">
        <v>0.25500000000000006</v>
      </c>
      <c r="E31" s="273">
        <v>0.37925000000000003</v>
      </c>
      <c r="F31" s="273">
        <v>0.30800000000000005</v>
      </c>
      <c r="G31" s="273">
        <v>0.16800000000000001</v>
      </c>
      <c r="H31" s="273">
        <v>0.18200000000000002</v>
      </c>
      <c r="I31" s="273">
        <v>0.182</v>
      </c>
      <c r="J31" s="273">
        <v>0.33800000000000002</v>
      </c>
      <c r="K31" s="274">
        <v>0.42024999999999996</v>
      </c>
    </row>
    <row r="32" spans="1:27" x14ac:dyDescent="0.25">
      <c r="B32" s="275">
        <v>3780</v>
      </c>
      <c r="C32" s="276">
        <v>1.8</v>
      </c>
      <c r="D32" s="276">
        <v>0.19500000000000001</v>
      </c>
      <c r="E32" s="276">
        <v>0.32375000000000004</v>
      </c>
      <c r="F32" s="276">
        <v>0.27500000000000002</v>
      </c>
      <c r="G32" s="276">
        <v>0.156</v>
      </c>
      <c r="H32" s="276">
        <v>0.18200000000000002</v>
      </c>
      <c r="I32" s="276">
        <v>0.16899999999999998</v>
      </c>
      <c r="J32" s="276">
        <v>0.312</v>
      </c>
      <c r="K32" s="277">
        <v>0.35874999999999996</v>
      </c>
      <c r="M32" s="286" t="s">
        <v>369</v>
      </c>
      <c r="N32" s="288">
        <v>1.0262461505221649</v>
      </c>
    </row>
    <row r="33" spans="1:21" ht="13" thickBot="1" x14ac:dyDescent="0.3">
      <c r="B33" s="289">
        <v>4200</v>
      </c>
      <c r="C33" s="290">
        <v>2</v>
      </c>
      <c r="D33" s="290">
        <v>0.18</v>
      </c>
      <c r="E33" s="290">
        <v>0.29600000000000004</v>
      </c>
      <c r="F33" s="290">
        <v>0.24200000000000002</v>
      </c>
      <c r="G33" s="290">
        <v>0.14399999999999999</v>
      </c>
      <c r="H33" s="290">
        <v>0.16899999999999998</v>
      </c>
      <c r="I33" s="290">
        <v>0.15599999999999997</v>
      </c>
      <c r="J33" s="290">
        <v>0.28600000000000003</v>
      </c>
      <c r="K33" s="291">
        <v>0.29724999999999996</v>
      </c>
      <c r="M33" s="267" t="s">
        <v>370</v>
      </c>
    </row>
    <row r="34" spans="1:21" x14ac:dyDescent="0.25">
      <c r="L34" s="292" t="s">
        <v>342</v>
      </c>
      <c r="M34" s="293" t="s">
        <v>343</v>
      </c>
      <c r="N34" s="294">
        <v>1.0409384708681515</v>
      </c>
    </row>
    <row r="35" spans="1:21" x14ac:dyDescent="0.25">
      <c r="L35" s="295" t="s">
        <v>348</v>
      </c>
      <c r="M35" s="296" t="s">
        <v>349</v>
      </c>
      <c r="N35" s="297">
        <v>0.97625430893937937</v>
      </c>
    </row>
    <row r="36" spans="1:21" ht="13" thickBot="1" x14ac:dyDescent="0.3">
      <c r="L36" s="298" t="s">
        <v>345</v>
      </c>
      <c r="M36" s="299" t="s">
        <v>346</v>
      </c>
      <c r="N36" s="300">
        <v>1</v>
      </c>
    </row>
    <row r="38" spans="1:21" x14ac:dyDescent="0.25">
      <c r="A38" s="335" t="s">
        <v>353</v>
      </c>
      <c r="B38" s="265" t="s">
        <v>354</v>
      </c>
      <c r="M38" s="827" t="s">
        <v>355</v>
      </c>
      <c r="N38" s="827"/>
      <c r="P38" s="265" t="s">
        <v>356</v>
      </c>
      <c r="S38" s="190"/>
      <c r="T38" s="190"/>
      <c r="U38" s="190"/>
    </row>
    <row r="39" spans="1:21" x14ac:dyDescent="0.25">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0.79200000000000004</v>
      </c>
      <c r="E41" s="273">
        <v>1.1304999999999998</v>
      </c>
      <c r="F41" s="273">
        <v>1.1199999999999999</v>
      </c>
      <c r="G41" s="273">
        <v>0.68250000000000011</v>
      </c>
      <c r="H41" s="273">
        <v>0.28499999999999998</v>
      </c>
      <c r="I41" s="273">
        <v>0.64349999999999996</v>
      </c>
      <c r="J41" s="273">
        <v>1.048</v>
      </c>
      <c r="K41" s="274">
        <v>1.0640000000000001</v>
      </c>
      <c r="M41" s="304" t="s">
        <v>334</v>
      </c>
      <c r="N41" s="271" t="s">
        <v>335</v>
      </c>
      <c r="P41" s="304" t="s">
        <v>336</v>
      </c>
      <c r="Q41" s="271" t="s">
        <v>337</v>
      </c>
      <c r="S41" s="190"/>
      <c r="T41" s="190"/>
      <c r="U41" s="190"/>
    </row>
    <row r="42" spans="1:21" x14ac:dyDescent="0.25">
      <c r="B42" s="275">
        <v>105</v>
      </c>
      <c r="C42" s="308">
        <v>0.05</v>
      </c>
      <c r="D42" s="276">
        <v>0.66</v>
      </c>
      <c r="E42" s="276">
        <v>1.0449999999999999</v>
      </c>
      <c r="F42" s="276">
        <v>1.048</v>
      </c>
      <c r="G42" s="276">
        <v>0.63050000000000006</v>
      </c>
      <c r="H42" s="276">
        <v>0.24499999999999997</v>
      </c>
      <c r="I42" s="276">
        <v>0.59150000000000003</v>
      </c>
      <c r="J42" s="276">
        <v>0.97600000000000009</v>
      </c>
      <c r="K42" s="277">
        <v>0.96900000000000008</v>
      </c>
      <c r="M42" s="278" t="s">
        <v>338</v>
      </c>
      <c r="N42" s="284">
        <v>0.8</v>
      </c>
      <c r="P42" s="278" t="s">
        <v>339</v>
      </c>
      <c r="Q42" s="280">
        <v>6.5104435561121124E-2</v>
      </c>
      <c r="S42" s="190"/>
      <c r="T42" s="190"/>
      <c r="U42" s="190"/>
    </row>
    <row r="43" spans="1:21" x14ac:dyDescent="0.25">
      <c r="B43" s="272">
        <v>210</v>
      </c>
      <c r="C43" s="307">
        <v>0.1</v>
      </c>
      <c r="D43" s="273">
        <v>0.60500000000000009</v>
      </c>
      <c r="E43" s="273">
        <v>0.94999999999999984</v>
      </c>
      <c r="F43" s="273">
        <v>0.99199999999999999</v>
      </c>
      <c r="G43" s="273">
        <v>0.59150000000000014</v>
      </c>
      <c r="H43" s="273">
        <v>0.23</v>
      </c>
      <c r="I43" s="273">
        <v>0.55249999999999999</v>
      </c>
      <c r="J43" s="273">
        <v>0.93599999999999994</v>
      </c>
      <c r="K43" s="274">
        <v>0.8929999999999999</v>
      </c>
      <c r="M43" s="281" t="s">
        <v>340</v>
      </c>
      <c r="N43" s="285">
        <v>1.2</v>
      </c>
      <c r="P43" s="281" t="s">
        <v>341</v>
      </c>
      <c r="Q43" s="283">
        <v>6.9689428081950514E-2</v>
      </c>
      <c r="S43" s="190"/>
      <c r="T43" s="190"/>
      <c r="U43" s="190"/>
    </row>
    <row r="44" spans="1:21" x14ac:dyDescent="0.25">
      <c r="B44" s="275">
        <v>420</v>
      </c>
      <c r="C44" s="308">
        <v>0.2</v>
      </c>
      <c r="D44" s="276">
        <v>0.51700000000000002</v>
      </c>
      <c r="E44" s="276">
        <v>0.82650000000000001</v>
      </c>
      <c r="F44" s="276">
        <v>0.89600000000000013</v>
      </c>
      <c r="G44" s="276">
        <v>0.53300000000000003</v>
      </c>
      <c r="H44" s="276">
        <v>0.20499999999999999</v>
      </c>
      <c r="I44" s="276">
        <v>0.49399999999999999</v>
      </c>
      <c r="J44" s="276">
        <v>0.84000000000000008</v>
      </c>
      <c r="K44" s="277">
        <v>0.76950000000000007</v>
      </c>
      <c r="L44" s="266" t="s">
        <v>342</v>
      </c>
      <c r="M44" s="278" t="s">
        <v>343</v>
      </c>
      <c r="N44" s="284">
        <v>1</v>
      </c>
      <c r="P44" s="278" t="s">
        <v>344</v>
      </c>
      <c r="Q44" s="280">
        <v>7.2102582040281776E-2</v>
      </c>
      <c r="S44" s="190"/>
      <c r="T44" s="190"/>
      <c r="U44" s="190"/>
    </row>
    <row r="45" spans="1:21" x14ac:dyDescent="0.25">
      <c r="B45" s="272">
        <v>840</v>
      </c>
      <c r="C45" s="307">
        <v>0.4</v>
      </c>
      <c r="D45" s="273">
        <v>0.4290000000000001</v>
      </c>
      <c r="E45" s="273">
        <v>0.62699999999999989</v>
      </c>
      <c r="F45" s="273">
        <v>0.7360000000000001</v>
      </c>
      <c r="G45" s="273">
        <v>0.43550000000000011</v>
      </c>
      <c r="H45" s="273">
        <v>0.17</v>
      </c>
      <c r="I45" s="273">
        <v>0.40300000000000002</v>
      </c>
      <c r="J45" s="273">
        <v>0.68</v>
      </c>
      <c r="K45" s="274">
        <v>0.58899999999999997</v>
      </c>
      <c r="L45" s="266" t="s">
        <v>345</v>
      </c>
      <c r="M45" s="281" t="s">
        <v>346</v>
      </c>
      <c r="N45" s="285">
        <v>0.8844579281689926</v>
      </c>
      <c r="P45" s="286" t="s">
        <v>347</v>
      </c>
      <c r="Q45" s="287">
        <v>7.3372663070982433E-2</v>
      </c>
      <c r="S45" s="190"/>
      <c r="T45" s="190"/>
      <c r="U45" s="190"/>
    </row>
    <row r="46" spans="1:21" x14ac:dyDescent="0.25">
      <c r="B46" s="275">
        <v>1260</v>
      </c>
      <c r="C46" s="308">
        <v>0.6</v>
      </c>
      <c r="D46" s="276">
        <v>0.36300000000000004</v>
      </c>
      <c r="E46" s="276">
        <v>0.47499999999999992</v>
      </c>
      <c r="F46" s="276">
        <v>0.59199999999999997</v>
      </c>
      <c r="G46" s="276">
        <v>0.36400000000000005</v>
      </c>
      <c r="H46" s="276">
        <v>0.14499999999999999</v>
      </c>
      <c r="I46" s="276">
        <v>0.34449999999999997</v>
      </c>
      <c r="J46" s="276">
        <v>0.57599999999999996</v>
      </c>
      <c r="K46" s="277">
        <v>0.42749999999999999</v>
      </c>
      <c r="L46" s="266" t="s">
        <v>348</v>
      </c>
      <c r="M46" s="309" t="s">
        <v>349</v>
      </c>
      <c r="N46" s="310">
        <v>0.91</v>
      </c>
      <c r="S46" s="190"/>
      <c r="T46" s="190"/>
      <c r="U46" s="190"/>
    </row>
    <row r="47" spans="1:21" x14ac:dyDescent="0.25">
      <c r="B47" s="272">
        <v>1680</v>
      </c>
      <c r="C47" s="307">
        <v>0.8</v>
      </c>
      <c r="D47" s="273">
        <v>0.31900000000000001</v>
      </c>
      <c r="E47" s="273">
        <v>0.36099999999999999</v>
      </c>
      <c r="F47" s="273">
        <v>0.504</v>
      </c>
      <c r="G47" s="273">
        <v>0.31850000000000001</v>
      </c>
      <c r="H47" s="273">
        <v>0.125</v>
      </c>
      <c r="I47" s="273">
        <v>0.29249999999999998</v>
      </c>
      <c r="J47" s="273">
        <v>0.47199999999999998</v>
      </c>
      <c r="K47" s="274">
        <v>0.34199999999999997</v>
      </c>
      <c r="S47" s="190"/>
      <c r="T47" s="190"/>
      <c r="U47" s="190"/>
    </row>
    <row r="48" spans="1:21" ht="13" thickBot="1" x14ac:dyDescent="0.3">
      <c r="B48" s="275">
        <v>2100</v>
      </c>
      <c r="C48" s="308">
        <v>1</v>
      </c>
      <c r="D48" s="276">
        <v>0.28600000000000003</v>
      </c>
      <c r="E48" s="276">
        <v>0.29449999999999998</v>
      </c>
      <c r="F48" s="276">
        <v>0.44</v>
      </c>
      <c r="G48" s="276">
        <v>0.27300000000000002</v>
      </c>
      <c r="H48" s="276">
        <v>0.11</v>
      </c>
      <c r="I48" s="276">
        <v>0.2535</v>
      </c>
      <c r="J48" s="276">
        <v>0.40799999999999997</v>
      </c>
      <c r="K48" s="277">
        <v>0.28500000000000003</v>
      </c>
      <c r="M48" s="267" t="s">
        <v>357</v>
      </c>
      <c r="S48" s="190"/>
      <c r="T48" s="190"/>
      <c r="U48" s="190"/>
    </row>
    <row r="49" spans="1:27" x14ac:dyDescent="0.25">
      <c r="B49" s="272">
        <v>2520</v>
      </c>
      <c r="C49" s="307">
        <v>1.2</v>
      </c>
      <c r="D49" s="273">
        <v>0.25300000000000006</v>
      </c>
      <c r="E49" s="273">
        <v>0.247</v>
      </c>
      <c r="F49" s="273">
        <v>0.36800000000000005</v>
      </c>
      <c r="G49" s="273">
        <v>0.24050000000000002</v>
      </c>
      <c r="H49" s="273">
        <v>0.1</v>
      </c>
      <c r="I49" s="273">
        <v>0.22749999999999998</v>
      </c>
      <c r="J49" s="273">
        <v>0.36000000000000004</v>
      </c>
      <c r="K49" s="274">
        <v>0.23749999999999999</v>
      </c>
      <c r="L49" s="292" t="s">
        <v>342</v>
      </c>
      <c r="M49" s="293" t="s">
        <v>343</v>
      </c>
      <c r="N49" s="294">
        <v>1</v>
      </c>
      <c r="S49" s="190"/>
      <c r="T49" s="190"/>
      <c r="U49" s="190"/>
    </row>
    <row r="50" spans="1:27" x14ac:dyDescent="0.25">
      <c r="B50" s="275">
        <v>2940</v>
      </c>
      <c r="C50" s="308">
        <v>1.4</v>
      </c>
      <c r="D50" s="276">
        <v>0.23100000000000004</v>
      </c>
      <c r="E50" s="276">
        <v>0.21849999999999997</v>
      </c>
      <c r="F50" s="276">
        <v>0.312</v>
      </c>
      <c r="G50" s="276">
        <v>0.22100000000000006</v>
      </c>
      <c r="H50" s="276">
        <v>8.5000000000000006E-2</v>
      </c>
      <c r="I50" s="276">
        <v>0.21450000000000002</v>
      </c>
      <c r="J50" s="276">
        <v>0.30399999999999999</v>
      </c>
      <c r="K50" s="277">
        <v>0.19949999999999998</v>
      </c>
      <c r="L50" s="295" t="s">
        <v>348</v>
      </c>
      <c r="M50" s="296" t="s">
        <v>349</v>
      </c>
      <c r="N50" s="297">
        <v>0.91</v>
      </c>
      <c r="T50" s="333"/>
    </row>
    <row r="51" spans="1:27" ht="13" thickBot="1" x14ac:dyDescent="0.3">
      <c r="B51" s="272">
        <v>3360</v>
      </c>
      <c r="C51" s="307">
        <v>1.6</v>
      </c>
      <c r="D51" s="273">
        <v>0.20900000000000002</v>
      </c>
      <c r="E51" s="273">
        <v>0.18999999999999997</v>
      </c>
      <c r="F51" s="273">
        <v>0.30399999999999999</v>
      </c>
      <c r="G51" s="273">
        <v>0.19500000000000001</v>
      </c>
      <c r="H51" s="273">
        <v>0.08</v>
      </c>
      <c r="I51" s="273">
        <v>0.1885</v>
      </c>
      <c r="J51" s="273">
        <v>0.26400000000000001</v>
      </c>
      <c r="K51" s="274">
        <v>0.19</v>
      </c>
      <c r="L51" s="298" t="s">
        <v>345</v>
      </c>
      <c r="M51" s="299" t="s">
        <v>346</v>
      </c>
      <c r="N51" s="300">
        <v>0.8844579281689926</v>
      </c>
    </row>
    <row r="52" spans="1:27" x14ac:dyDescent="0.25">
      <c r="B52" s="275">
        <v>3780</v>
      </c>
      <c r="C52" s="308">
        <v>1.8</v>
      </c>
      <c r="D52" s="276">
        <v>0.18700000000000003</v>
      </c>
      <c r="E52" s="276">
        <v>0.17099999999999996</v>
      </c>
      <c r="F52" s="276">
        <v>0.25600000000000001</v>
      </c>
      <c r="G52" s="276">
        <v>0.17550000000000004</v>
      </c>
      <c r="H52" s="276">
        <v>7.0000000000000007E-2</v>
      </c>
      <c r="I52" s="276">
        <v>0.16250000000000001</v>
      </c>
      <c r="J52" s="276">
        <v>0.25600000000000001</v>
      </c>
      <c r="K52" s="277">
        <v>0.1615</v>
      </c>
    </row>
    <row r="53" spans="1:27" x14ac:dyDescent="0.25">
      <c r="B53" s="289">
        <v>4200</v>
      </c>
      <c r="C53" s="311">
        <v>2</v>
      </c>
      <c r="D53" s="290">
        <v>0.18700000000000003</v>
      </c>
      <c r="E53" s="290">
        <v>0.1615</v>
      </c>
      <c r="F53" s="290">
        <v>0.22400000000000003</v>
      </c>
      <c r="G53" s="290">
        <v>0.14950000000000002</v>
      </c>
      <c r="H53" s="290">
        <v>7.0000000000000007E-2</v>
      </c>
      <c r="I53" s="290">
        <v>0.156</v>
      </c>
      <c r="J53" s="290">
        <v>0.20800000000000002</v>
      </c>
      <c r="K53" s="291">
        <v>0.152</v>
      </c>
    </row>
    <row r="55" spans="1:27" x14ac:dyDescent="0.25">
      <c r="A55" s="335"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1.379</v>
      </c>
      <c r="E58" s="273">
        <v>1.1236666666666666</v>
      </c>
      <c r="F58" s="273">
        <v>0.99599999999999989</v>
      </c>
      <c r="G58" s="273">
        <v>0.70533333333333326</v>
      </c>
      <c r="H58" s="273">
        <v>0.55999999999999994</v>
      </c>
      <c r="I58" s="273">
        <v>0.8666666666666667</v>
      </c>
      <c r="J58" s="273">
        <v>1.02</v>
      </c>
      <c r="K58" s="274">
        <v>1.2593333333333334</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1.351</v>
      </c>
      <c r="E59" s="276">
        <v>1.0790176600441501</v>
      </c>
      <c r="F59" s="276">
        <v>0.91199999999999992</v>
      </c>
      <c r="G59" s="276">
        <v>0.59682051282051274</v>
      </c>
      <c r="H59" s="276">
        <v>0.46399999999999991</v>
      </c>
      <c r="I59" s="276">
        <v>0.73333333333333339</v>
      </c>
      <c r="J59" s="276">
        <v>0.94800000000000006</v>
      </c>
      <c r="K59" s="277">
        <v>1.2099477124183007</v>
      </c>
      <c r="M59" s="278" t="s">
        <v>338</v>
      </c>
      <c r="N59" s="284">
        <v>1</v>
      </c>
      <c r="P59" s="312">
        <v>1.2</v>
      </c>
      <c r="Q59" s="313">
        <v>1.05</v>
      </c>
      <c r="R59" s="313">
        <v>0.9</v>
      </c>
      <c r="S59" s="313">
        <v>0.9</v>
      </c>
      <c r="T59" s="313">
        <v>0.9</v>
      </c>
      <c r="U59" s="313">
        <v>0.9</v>
      </c>
      <c r="V59" s="313">
        <v>0.9</v>
      </c>
      <c r="W59" s="310">
        <v>1.05</v>
      </c>
      <c r="Y59" s="190"/>
      <c r="Z59" s="190"/>
      <c r="AA59" s="190"/>
    </row>
    <row r="60" spans="1:27" x14ac:dyDescent="0.25">
      <c r="B60" s="272">
        <v>210</v>
      </c>
      <c r="C60" s="307">
        <v>0.1</v>
      </c>
      <c r="D60" s="273">
        <v>1.337</v>
      </c>
      <c r="E60" s="273">
        <v>1.0418101545253862</v>
      </c>
      <c r="F60" s="273">
        <v>0.8879999999999999</v>
      </c>
      <c r="G60" s="273">
        <v>0.5606495726495726</v>
      </c>
      <c r="H60" s="273">
        <v>0.44800000000000006</v>
      </c>
      <c r="I60" s="273">
        <v>0.68888888888888888</v>
      </c>
      <c r="J60" s="273">
        <v>0.9</v>
      </c>
      <c r="K60" s="274">
        <v>1.1687930283224401</v>
      </c>
      <c r="M60" s="281" t="s">
        <v>340</v>
      </c>
      <c r="N60" s="285">
        <v>1.4</v>
      </c>
      <c r="O60" s="267" t="s">
        <v>364</v>
      </c>
      <c r="P60" s="302">
        <v>1.1404799999999999</v>
      </c>
      <c r="Q60" s="302">
        <v>0.99792000000000003</v>
      </c>
      <c r="R60" s="302">
        <v>0.85536000000000001</v>
      </c>
      <c r="S60" s="302">
        <v>0.85536000000000001</v>
      </c>
      <c r="T60" s="302">
        <v>0.85536000000000001</v>
      </c>
      <c r="U60" s="302">
        <v>0.85536000000000001</v>
      </c>
      <c r="V60" s="302">
        <v>0.85536000000000001</v>
      </c>
      <c r="W60" s="302">
        <v>0.99792000000000003</v>
      </c>
      <c r="Y60" s="190"/>
      <c r="Z60" s="190"/>
      <c r="AA60" s="190"/>
    </row>
    <row r="61" spans="1:27" x14ac:dyDescent="0.25">
      <c r="B61" s="275">
        <v>420</v>
      </c>
      <c r="C61" s="308">
        <v>0.2</v>
      </c>
      <c r="D61" s="276">
        <v>1.1340000000000001</v>
      </c>
      <c r="E61" s="276">
        <v>0.95251214128035311</v>
      </c>
      <c r="F61" s="276">
        <v>0.80399999999999994</v>
      </c>
      <c r="G61" s="276">
        <v>0.50639316239316234</v>
      </c>
      <c r="H61" s="276">
        <v>0.39999999999999997</v>
      </c>
      <c r="I61" s="276">
        <v>0.62222222222222223</v>
      </c>
      <c r="J61" s="276">
        <v>0.81600000000000006</v>
      </c>
      <c r="K61" s="277">
        <v>1.0535599128540305</v>
      </c>
      <c r="M61" s="278" t="s">
        <v>365</v>
      </c>
      <c r="N61" s="284">
        <v>0.95040000000000002</v>
      </c>
      <c r="Y61" s="190"/>
      <c r="Z61" s="190"/>
      <c r="AA61" s="190"/>
    </row>
    <row r="62" spans="1:27" x14ac:dyDescent="0.25">
      <c r="B62" s="272">
        <v>840</v>
      </c>
      <c r="C62" s="307">
        <v>0.4</v>
      </c>
      <c r="D62" s="273">
        <v>1.036</v>
      </c>
      <c r="E62" s="273">
        <v>0.81112362030905072</v>
      </c>
      <c r="F62" s="273">
        <v>0.67199999999999993</v>
      </c>
      <c r="G62" s="273">
        <v>0.43405128205128196</v>
      </c>
      <c r="H62" s="273">
        <v>0.35200000000000004</v>
      </c>
      <c r="I62" s="273">
        <v>0.53333333333333333</v>
      </c>
      <c r="J62" s="273">
        <v>0.69600000000000006</v>
      </c>
      <c r="K62" s="274">
        <v>0.90540305010893252</v>
      </c>
      <c r="M62" s="281" t="s">
        <v>366</v>
      </c>
      <c r="N62" s="285">
        <v>0.71279999999999999</v>
      </c>
      <c r="P62" s="265" t="s">
        <v>373</v>
      </c>
      <c r="Y62" s="190"/>
      <c r="Z62" s="190"/>
      <c r="AA62" s="190"/>
    </row>
    <row r="63" spans="1:27" ht="13" thickBot="1" x14ac:dyDescent="0.3">
      <c r="B63" s="275">
        <v>1260</v>
      </c>
      <c r="C63" s="308">
        <v>0.6</v>
      </c>
      <c r="D63" s="276">
        <v>0.85399999999999998</v>
      </c>
      <c r="E63" s="276">
        <v>0.66973509933774833</v>
      </c>
      <c r="F63" s="276">
        <v>0.58799999999999997</v>
      </c>
      <c r="G63" s="276">
        <v>0.37979487179487176</v>
      </c>
      <c r="H63" s="276">
        <v>0.30399999999999999</v>
      </c>
      <c r="I63" s="276">
        <v>0.46666666666666667</v>
      </c>
      <c r="J63" s="276">
        <v>0.58799999999999997</v>
      </c>
      <c r="K63" s="277">
        <v>0.74078431372549025</v>
      </c>
      <c r="L63" s="266" t="s">
        <v>342</v>
      </c>
      <c r="M63" s="278" t="s">
        <v>343</v>
      </c>
      <c r="N63" s="284">
        <v>1.0409384708681515</v>
      </c>
      <c r="Y63" s="190"/>
      <c r="Z63" s="190"/>
      <c r="AA63" s="190"/>
    </row>
    <row r="64" spans="1:27" ht="13.5" thickBot="1" x14ac:dyDescent="0.3">
      <c r="B64" s="272">
        <v>1680</v>
      </c>
      <c r="C64" s="307">
        <v>0.8</v>
      </c>
      <c r="D64" s="273">
        <v>0.7420000000000001</v>
      </c>
      <c r="E64" s="273">
        <v>0.55067108167770418</v>
      </c>
      <c r="F64" s="273">
        <v>0.5159999999999999</v>
      </c>
      <c r="G64" s="273">
        <v>0.34362393162393157</v>
      </c>
      <c r="H64" s="273">
        <v>0.28799999999999998</v>
      </c>
      <c r="I64" s="273">
        <v>0.42222222222222222</v>
      </c>
      <c r="J64" s="273">
        <v>0.52800000000000002</v>
      </c>
      <c r="K64" s="274">
        <v>0.61732026143790852</v>
      </c>
      <c r="L64" s="266" t="s">
        <v>345</v>
      </c>
      <c r="M64" s="281" t="s">
        <v>346</v>
      </c>
      <c r="N64" s="285">
        <v>1</v>
      </c>
      <c r="P64" s="320" t="s">
        <v>374</v>
      </c>
      <c r="Y64" s="190"/>
      <c r="Z64" s="190"/>
      <c r="AA64" s="190"/>
    </row>
    <row r="65" spans="2:27" ht="13.5" thickBot="1" x14ac:dyDescent="0.3">
      <c r="B65" s="275">
        <v>2100</v>
      </c>
      <c r="C65" s="308">
        <v>1</v>
      </c>
      <c r="D65" s="276">
        <v>0.59499999999999997</v>
      </c>
      <c r="E65" s="276">
        <v>0.4911390728476821</v>
      </c>
      <c r="F65" s="276">
        <v>0.44399999999999995</v>
      </c>
      <c r="G65" s="276">
        <v>0.30745299145299143</v>
      </c>
      <c r="H65" s="276">
        <v>0.25600000000000001</v>
      </c>
      <c r="I65" s="276">
        <v>0.37777777777777777</v>
      </c>
      <c r="J65" s="276">
        <v>0.44400000000000001</v>
      </c>
      <c r="K65" s="277">
        <v>0.52677995642701525</v>
      </c>
      <c r="L65" s="266" t="s">
        <v>348</v>
      </c>
      <c r="M65" s="309" t="s">
        <v>349</v>
      </c>
      <c r="N65" s="310">
        <v>0.97625430893937937</v>
      </c>
      <c r="P65" s="321">
        <v>8.0399999999999991</v>
      </c>
      <c r="Y65" s="190"/>
      <c r="Z65" s="190"/>
      <c r="AA65" s="190"/>
    </row>
    <row r="66" spans="2:27" x14ac:dyDescent="0.25">
      <c r="B66" s="272">
        <v>2520</v>
      </c>
      <c r="C66" s="307">
        <v>1.2</v>
      </c>
      <c r="D66" s="273">
        <v>0.42699999999999999</v>
      </c>
      <c r="E66" s="273">
        <v>0.37951655629139069</v>
      </c>
      <c r="F66" s="273">
        <v>0.39600000000000002</v>
      </c>
      <c r="G66" s="273">
        <v>0.27128205128205124</v>
      </c>
      <c r="H66" s="273">
        <v>0.25600000000000001</v>
      </c>
      <c r="I66" s="273">
        <v>0.35555555555555557</v>
      </c>
      <c r="J66" s="273">
        <v>0.40800000000000003</v>
      </c>
      <c r="K66" s="274">
        <v>0.4609324618736384</v>
      </c>
      <c r="Y66" s="190"/>
      <c r="Z66" s="190"/>
      <c r="AA66" s="190"/>
    </row>
    <row r="67" spans="2:27" ht="13" thickBot="1" x14ac:dyDescent="0.3">
      <c r="B67" s="275">
        <v>2940</v>
      </c>
      <c r="C67" s="308">
        <v>1.4</v>
      </c>
      <c r="D67" s="276">
        <v>0.32900000000000001</v>
      </c>
      <c r="E67" s="276">
        <v>0.34975055187637966</v>
      </c>
      <c r="F67" s="276">
        <v>0.35999999999999993</v>
      </c>
      <c r="G67" s="276">
        <v>0.25319658119658117</v>
      </c>
      <c r="H67" s="276">
        <v>0.24</v>
      </c>
      <c r="I67" s="276">
        <v>0.33333333333333331</v>
      </c>
      <c r="J67" s="276">
        <v>0.36000000000000004</v>
      </c>
      <c r="K67" s="277">
        <v>0.3868540305010893</v>
      </c>
      <c r="M67" s="267" t="s">
        <v>375</v>
      </c>
    </row>
    <row r="68" spans="2:27" x14ac:dyDescent="0.25">
      <c r="B68" s="272">
        <v>3360</v>
      </c>
      <c r="C68" s="307">
        <v>1.6</v>
      </c>
      <c r="D68" s="273">
        <v>0.23800000000000002</v>
      </c>
      <c r="E68" s="273">
        <v>0.30510154525386313</v>
      </c>
      <c r="F68" s="273">
        <v>0.33599999999999997</v>
      </c>
      <c r="G68" s="273">
        <v>0.25319658119658117</v>
      </c>
      <c r="H68" s="273">
        <v>0.22400000000000003</v>
      </c>
      <c r="I68" s="273">
        <v>0.31111111111111112</v>
      </c>
      <c r="J68" s="273">
        <v>0.31200000000000006</v>
      </c>
      <c r="K68" s="274">
        <v>0.33746840958605667</v>
      </c>
      <c r="L68" s="292" t="s">
        <v>342</v>
      </c>
      <c r="M68" s="293" t="s">
        <v>340</v>
      </c>
      <c r="N68" s="294">
        <v>1.0409384708681515</v>
      </c>
    </row>
    <row r="69" spans="2:27" x14ac:dyDescent="0.25">
      <c r="B69" s="275">
        <v>3780</v>
      </c>
      <c r="C69" s="308">
        <v>1.8</v>
      </c>
      <c r="D69" s="276">
        <v>0.18200000000000002</v>
      </c>
      <c r="E69" s="276">
        <v>0.26045253863134654</v>
      </c>
      <c r="F69" s="276">
        <v>0.3</v>
      </c>
      <c r="G69" s="276">
        <v>0.23511111111111108</v>
      </c>
      <c r="H69" s="276">
        <v>0.22400000000000003</v>
      </c>
      <c r="I69" s="276">
        <v>0.28888888888888886</v>
      </c>
      <c r="J69" s="276">
        <v>0.28799999999999998</v>
      </c>
      <c r="K69" s="277">
        <v>0.28808278867102399</v>
      </c>
      <c r="L69" s="295" t="s">
        <v>348</v>
      </c>
      <c r="M69" s="296" t="s">
        <v>366</v>
      </c>
      <c r="N69" s="297">
        <v>0.97625430893937937</v>
      </c>
    </row>
    <row r="70" spans="2:27" ht="13" thickBot="1" x14ac:dyDescent="0.3">
      <c r="B70" s="289">
        <v>4200</v>
      </c>
      <c r="C70" s="311">
        <v>2</v>
      </c>
      <c r="D70" s="290">
        <v>0.16799999999999998</v>
      </c>
      <c r="E70" s="290">
        <v>0.23812803532008828</v>
      </c>
      <c r="F70" s="290">
        <v>0.26400000000000001</v>
      </c>
      <c r="G70" s="290">
        <v>0.21702564102564098</v>
      </c>
      <c r="H70" s="290">
        <v>0.20799999999999999</v>
      </c>
      <c r="I70" s="290">
        <v>0.26666666666666666</v>
      </c>
      <c r="J70" s="290">
        <v>0.26400000000000001</v>
      </c>
      <c r="K70" s="291">
        <v>0.23869716775599129</v>
      </c>
      <c r="L70" s="298" t="s">
        <v>345</v>
      </c>
      <c r="M70" s="299" t="s">
        <v>365</v>
      </c>
      <c r="N70" s="300">
        <v>1</v>
      </c>
    </row>
  </sheetData>
  <mergeCells count="5">
    <mergeCell ref="M55:N55"/>
    <mergeCell ref="M1:N1"/>
    <mergeCell ref="P1:Q1"/>
    <mergeCell ref="M18:N18"/>
    <mergeCell ref="M38:N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70"/>
  <sheetViews>
    <sheetView topLeftCell="B22"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361</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0.61499999999999999</v>
      </c>
      <c r="E3" s="273">
        <v>0.79025000000000001</v>
      </c>
      <c r="F3" s="273">
        <v>0.83299999999999996</v>
      </c>
      <c r="G3" s="273">
        <v>0.67199999999999993</v>
      </c>
      <c r="H3" s="273">
        <v>0.47599999999999998</v>
      </c>
      <c r="I3" s="273">
        <v>1.04</v>
      </c>
      <c r="J3" s="273">
        <v>1.6900000000000002</v>
      </c>
      <c r="K3" s="274">
        <v>1.1890000000000001</v>
      </c>
      <c r="S3" s="190"/>
      <c r="T3" s="190"/>
      <c r="U3" s="190"/>
    </row>
    <row r="4" spans="1:21" ht="13" x14ac:dyDescent="0.25">
      <c r="B4" s="275">
        <v>105</v>
      </c>
      <c r="C4" s="276">
        <v>0.05</v>
      </c>
      <c r="D4" s="276">
        <v>0.51749999999999996</v>
      </c>
      <c r="E4" s="276">
        <v>0.69599999999999995</v>
      </c>
      <c r="F4" s="276">
        <v>0.74900000000000011</v>
      </c>
      <c r="G4" s="276">
        <v>0.59499999999999986</v>
      </c>
      <c r="H4" s="276">
        <v>0.39899999999999997</v>
      </c>
      <c r="I4" s="276">
        <v>0.92</v>
      </c>
      <c r="J4" s="276">
        <v>1.5470000000000002</v>
      </c>
      <c r="K4" s="277">
        <v>1.0660000000000003</v>
      </c>
      <c r="M4" s="304" t="s">
        <v>334</v>
      </c>
      <c r="N4" s="271" t="s">
        <v>335</v>
      </c>
      <c r="P4" s="304" t="s">
        <v>336</v>
      </c>
      <c r="Q4" s="271" t="s">
        <v>337</v>
      </c>
      <c r="S4" s="190"/>
      <c r="T4" s="190"/>
      <c r="U4" s="190"/>
    </row>
    <row r="5" spans="1:21" x14ac:dyDescent="0.25">
      <c r="B5" s="272">
        <v>210</v>
      </c>
      <c r="C5" s="273">
        <v>0.1</v>
      </c>
      <c r="D5" s="273">
        <v>0.47249999999999998</v>
      </c>
      <c r="E5" s="273">
        <v>0.6379999999999999</v>
      </c>
      <c r="F5" s="273">
        <v>0.70700000000000007</v>
      </c>
      <c r="G5" s="273">
        <v>0.55300000000000005</v>
      </c>
      <c r="H5" s="273">
        <v>0.37799999999999995</v>
      </c>
      <c r="I5" s="273">
        <v>0.86</v>
      </c>
      <c r="J5" s="273">
        <v>1.4430000000000003</v>
      </c>
      <c r="K5" s="274">
        <v>0.96350000000000013</v>
      </c>
      <c r="M5" s="278" t="s">
        <v>338</v>
      </c>
      <c r="N5" s="279">
        <v>0.45</v>
      </c>
      <c r="P5" s="278" t="s">
        <v>339</v>
      </c>
      <c r="Q5" s="280">
        <v>4.8448242936761449E-2</v>
      </c>
      <c r="S5" s="190"/>
      <c r="T5" s="190"/>
      <c r="U5" s="190"/>
    </row>
    <row r="6" spans="1:21" x14ac:dyDescent="0.25">
      <c r="B6" s="275">
        <v>420</v>
      </c>
      <c r="C6" s="276">
        <v>0.2</v>
      </c>
      <c r="D6" s="276">
        <v>0.38250000000000001</v>
      </c>
      <c r="E6" s="276">
        <v>0.55099999999999993</v>
      </c>
      <c r="F6" s="276">
        <v>0.623</v>
      </c>
      <c r="G6" s="276">
        <v>0.48999999999999994</v>
      </c>
      <c r="H6" s="276">
        <v>0.33599999999999997</v>
      </c>
      <c r="I6" s="276">
        <v>0.76</v>
      </c>
      <c r="J6" s="276">
        <v>1.2870000000000001</v>
      </c>
      <c r="K6" s="277">
        <v>0.85075000000000012</v>
      </c>
      <c r="M6" s="281" t="s">
        <v>340</v>
      </c>
      <c r="N6" s="282">
        <v>1.2</v>
      </c>
      <c r="P6" s="281" t="s">
        <v>341</v>
      </c>
      <c r="Q6" s="283">
        <v>5.3754585621250045E-2</v>
      </c>
      <c r="S6" s="190"/>
      <c r="T6" s="190"/>
      <c r="U6" s="190"/>
    </row>
    <row r="7" spans="1:21" x14ac:dyDescent="0.25">
      <c r="B7" s="272">
        <v>840</v>
      </c>
      <c r="C7" s="273">
        <v>0.4</v>
      </c>
      <c r="D7" s="273">
        <v>0.29250000000000004</v>
      </c>
      <c r="E7" s="273">
        <v>0.42049999999999993</v>
      </c>
      <c r="F7" s="273">
        <v>0.49699999999999994</v>
      </c>
      <c r="G7" s="273">
        <v>0.39899999999999997</v>
      </c>
      <c r="H7" s="273">
        <v>0.26600000000000001</v>
      </c>
      <c r="I7" s="273">
        <v>0.62</v>
      </c>
      <c r="J7" s="273">
        <v>1.0530000000000002</v>
      </c>
      <c r="K7" s="274">
        <v>0.63550000000000006</v>
      </c>
      <c r="L7" s="266" t="s">
        <v>342</v>
      </c>
      <c r="M7" s="278" t="s">
        <v>343</v>
      </c>
      <c r="N7" s="284">
        <v>1.2028456629955802</v>
      </c>
      <c r="P7" s="278" t="s">
        <v>344</v>
      </c>
      <c r="Q7" s="280">
        <v>5.6875963670949214E-2</v>
      </c>
      <c r="S7" s="190"/>
      <c r="T7" s="190"/>
      <c r="U7" s="190"/>
    </row>
    <row r="8" spans="1:21" x14ac:dyDescent="0.25">
      <c r="B8" s="275">
        <v>1260</v>
      </c>
      <c r="C8" s="276">
        <v>0.6</v>
      </c>
      <c r="D8" s="276">
        <v>0.26250000000000001</v>
      </c>
      <c r="E8" s="276">
        <v>0.33349999999999996</v>
      </c>
      <c r="F8" s="276">
        <v>0.40599999999999997</v>
      </c>
      <c r="G8" s="276">
        <v>0.32899999999999996</v>
      </c>
      <c r="H8" s="276">
        <v>0.23099999999999998</v>
      </c>
      <c r="I8" s="276">
        <v>0.51</v>
      </c>
      <c r="J8" s="276">
        <v>0.84500000000000008</v>
      </c>
      <c r="K8" s="277">
        <v>0.49199999999999999</v>
      </c>
      <c r="L8" s="266" t="s">
        <v>345</v>
      </c>
      <c r="M8" s="281" t="s">
        <v>346</v>
      </c>
      <c r="N8" s="285">
        <v>1</v>
      </c>
      <c r="P8" s="286" t="s">
        <v>347</v>
      </c>
      <c r="Q8" s="287">
        <v>5.8712068406066367E-2</v>
      </c>
      <c r="S8" s="190"/>
      <c r="T8" s="190"/>
      <c r="U8" s="190"/>
    </row>
    <row r="9" spans="1:21" x14ac:dyDescent="0.25">
      <c r="B9" s="272">
        <v>1680</v>
      </c>
      <c r="C9" s="273">
        <v>0.8</v>
      </c>
      <c r="D9" s="273">
        <v>0.22500000000000001</v>
      </c>
      <c r="E9" s="273">
        <v>0.26824999999999999</v>
      </c>
      <c r="F9" s="273">
        <v>0.35</v>
      </c>
      <c r="G9" s="273">
        <v>0.27999999999999997</v>
      </c>
      <c r="H9" s="273">
        <v>0.19600000000000001</v>
      </c>
      <c r="I9" s="273">
        <v>0.43</v>
      </c>
      <c r="J9" s="273">
        <v>0.67600000000000016</v>
      </c>
      <c r="K9" s="274">
        <v>0.41000000000000003</v>
      </c>
      <c r="L9" s="266" t="s">
        <v>348</v>
      </c>
      <c r="M9" s="278" t="s">
        <v>349</v>
      </c>
      <c r="N9" s="284">
        <v>0.88219252577636464</v>
      </c>
      <c r="S9" s="190"/>
      <c r="T9" s="190"/>
      <c r="U9" s="190"/>
    </row>
    <row r="10" spans="1:21" x14ac:dyDescent="0.25">
      <c r="B10" s="275">
        <v>2100</v>
      </c>
      <c r="C10" s="276">
        <v>1</v>
      </c>
      <c r="D10" s="276">
        <v>0.19500000000000001</v>
      </c>
      <c r="E10" s="276">
        <v>0.22474999999999998</v>
      </c>
      <c r="F10" s="276">
        <v>0.29399999999999998</v>
      </c>
      <c r="G10" s="276">
        <v>0.23799999999999999</v>
      </c>
      <c r="H10" s="276">
        <v>0.17499999999999999</v>
      </c>
      <c r="I10" s="276">
        <v>0.37</v>
      </c>
      <c r="J10" s="276">
        <v>0.59800000000000009</v>
      </c>
      <c r="K10" s="277">
        <v>0.31775000000000003</v>
      </c>
      <c r="M10" s="286" t="s">
        <v>350</v>
      </c>
      <c r="N10" s="288">
        <v>0.65</v>
      </c>
      <c r="S10" s="190"/>
      <c r="T10" s="190"/>
      <c r="U10" s="190"/>
    </row>
    <row r="11" spans="1:21" x14ac:dyDescent="0.25">
      <c r="B11" s="272">
        <v>2520</v>
      </c>
      <c r="C11" s="273">
        <v>1.2</v>
      </c>
      <c r="D11" s="273">
        <v>0.18</v>
      </c>
      <c r="E11" s="273">
        <v>0.1885</v>
      </c>
      <c r="F11" s="273">
        <v>0.25199999999999995</v>
      </c>
      <c r="G11" s="273">
        <v>0.20999999999999996</v>
      </c>
      <c r="H11" s="273">
        <v>0.15399999999999997</v>
      </c>
      <c r="I11" s="273">
        <v>0.33</v>
      </c>
      <c r="J11" s="273">
        <v>0.52000000000000013</v>
      </c>
      <c r="K11" s="274">
        <v>0.27675000000000005</v>
      </c>
      <c r="M11" s="267" t="s">
        <v>351</v>
      </c>
      <c r="S11" s="190"/>
      <c r="T11" s="190"/>
      <c r="U11" s="190"/>
    </row>
    <row r="12" spans="1:21" x14ac:dyDescent="0.25">
      <c r="B12" s="275">
        <v>2940</v>
      </c>
      <c r="C12" s="276">
        <v>1.4</v>
      </c>
      <c r="D12" s="276">
        <v>0.1575</v>
      </c>
      <c r="E12" s="276">
        <v>0.16674999999999998</v>
      </c>
      <c r="F12" s="276">
        <v>0.22400000000000003</v>
      </c>
      <c r="G12" s="276">
        <v>0.18900000000000003</v>
      </c>
      <c r="H12" s="276">
        <v>0.13999999999999999</v>
      </c>
      <c r="I12" s="276">
        <v>0.28999999999999998</v>
      </c>
      <c r="J12" s="276">
        <v>0.44200000000000006</v>
      </c>
      <c r="K12" s="277">
        <v>0.246</v>
      </c>
      <c r="S12" s="190"/>
      <c r="T12" s="190"/>
      <c r="U12" s="190"/>
    </row>
    <row r="13" spans="1:21" x14ac:dyDescent="0.25">
      <c r="B13" s="272">
        <v>3360</v>
      </c>
      <c r="C13" s="273">
        <v>1.6</v>
      </c>
      <c r="D13" s="273">
        <v>0.15000000000000002</v>
      </c>
      <c r="E13" s="273">
        <v>0.15949999999999998</v>
      </c>
      <c r="F13" s="273">
        <v>0.20299999999999999</v>
      </c>
      <c r="G13" s="273">
        <v>0.16099999999999998</v>
      </c>
      <c r="H13" s="273">
        <v>0.12599999999999997</v>
      </c>
      <c r="I13" s="273">
        <v>0.27</v>
      </c>
      <c r="J13" s="273">
        <v>0.39</v>
      </c>
      <c r="K13" s="274">
        <v>0.21525000000000002</v>
      </c>
      <c r="M13" s="286" t="s">
        <v>350</v>
      </c>
      <c r="N13" s="288">
        <v>0.47577236180248345</v>
      </c>
    </row>
    <row r="14" spans="1:21" ht="13" thickBot="1" x14ac:dyDescent="0.3">
      <c r="B14" s="275">
        <v>3780</v>
      </c>
      <c r="C14" s="276">
        <v>1.8</v>
      </c>
      <c r="D14" s="276">
        <v>0.13500000000000001</v>
      </c>
      <c r="E14" s="276">
        <v>0.14500000000000002</v>
      </c>
      <c r="F14" s="276">
        <v>0.17499999999999999</v>
      </c>
      <c r="G14" s="276">
        <v>0.14699999999999999</v>
      </c>
      <c r="H14" s="276">
        <v>0.11899999999999999</v>
      </c>
      <c r="I14" s="276">
        <v>0.23</v>
      </c>
      <c r="J14" s="276">
        <v>0.35100000000000003</v>
      </c>
      <c r="K14" s="277">
        <v>0.20500000000000002</v>
      </c>
      <c r="M14" s="267" t="s">
        <v>352</v>
      </c>
    </row>
    <row r="15" spans="1:21" x14ac:dyDescent="0.25">
      <c r="B15" s="289">
        <v>4200</v>
      </c>
      <c r="C15" s="290">
        <v>2</v>
      </c>
      <c r="D15" s="290">
        <v>0.1275</v>
      </c>
      <c r="E15" s="290">
        <v>0.12325000000000001</v>
      </c>
      <c r="F15" s="290">
        <v>0.16800000000000001</v>
      </c>
      <c r="G15" s="290">
        <v>0.14699999999999999</v>
      </c>
      <c r="H15" s="290">
        <v>0.11199999999999999</v>
      </c>
      <c r="I15" s="290">
        <v>0.21</v>
      </c>
      <c r="J15" s="290">
        <v>0.32500000000000001</v>
      </c>
      <c r="K15" s="291">
        <v>0.19475000000000003</v>
      </c>
      <c r="L15" s="292" t="s">
        <v>342</v>
      </c>
      <c r="M15" s="293" t="s">
        <v>343</v>
      </c>
      <c r="N15" s="294">
        <v>1.2028456629955802</v>
      </c>
    </row>
    <row r="16" spans="1:21" x14ac:dyDescent="0.25">
      <c r="L16" s="295" t="s">
        <v>348</v>
      </c>
      <c r="M16" s="296" t="s">
        <v>349</v>
      </c>
      <c r="N16" s="297">
        <v>0.88219252577636464</v>
      </c>
    </row>
    <row r="17" spans="1:27" ht="13" thickBot="1" x14ac:dyDescent="0.3">
      <c r="L17" s="298" t="s">
        <v>345</v>
      </c>
      <c r="M17" s="299" t="s">
        <v>346</v>
      </c>
      <c r="N17" s="300">
        <v>1</v>
      </c>
    </row>
    <row r="18" spans="1:27" x14ac:dyDescent="0.25">
      <c r="A18" s="315" t="s">
        <v>359</v>
      </c>
      <c r="B18" s="265" t="s">
        <v>360</v>
      </c>
      <c r="M18" s="827" t="s">
        <v>361</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1.6079999999999999</v>
      </c>
      <c r="E21" s="273">
        <v>1.554</v>
      </c>
      <c r="F21" s="273">
        <v>1.0010000000000001</v>
      </c>
      <c r="G21" s="273">
        <v>0.4875000000000001</v>
      </c>
      <c r="H21" s="273">
        <v>0.44400000000000001</v>
      </c>
      <c r="I21" s="273">
        <v>0.46800000000000008</v>
      </c>
      <c r="J21" s="273">
        <v>1.02</v>
      </c>
      <c r="K21" s="274">
        <v>1.58</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1.56</v>
      </c>
      <c r="E22" s="276">
        <v>1.4910000000000001</v>
      </c>
      <c r="F22" s="276">
        <v>0.91</v>
      </c>
      <c r="G22" s="276">
        <v>0.41250000000000009</v>
      </c>
      <c r="H22" s="276">
        <v>0.372</v>
      </c>
      <c r="I22" s="276">
        <v>0.39600000000000007</v>
      </c>
      <c r="J22" s="276">
        <v>0.93600000000000005</v>
      </c>
      <c r="K22" s="277">
        <v>1.51</v>
      </c>
      <c r="M22" s="278" t="s">
        <v>338</v>
      </c>
      <c r="N22" s="279">
        <v>0.6</v>
      </c>
      <c r="P22" s="301">
        <v>1.2</v>
      </c>
      <c r="Q22" s="301">
        <v>1</v>
      </c>
      <c r="R22" s="301">
        <v>0.8</v>
      </c>
      <c r="S22" s="301">
        <v>0.75</v>
      </c>
      <c r="T22" s="301">
        <v>0.7</v>
      </c>
      <c r="U22" s="301">
        <v>0.75</v>
      </c>
      <c r="V22" s="301">
        <v>0.8</v>
      </c>
      <c r="W22" s="301">
        <v>1</v>
      </c>
      <c r="Y22" s="190"/>
      <c r="Z22" s="190"/>
      <c r="AA22" s="190"/>
    </row>
    <row r="23" spans="1:27" x14ac:dyDescent="0.25">
      <c r="B23" s="272">
        <v>210</v>
      </c>
      <c r="C23" s="273">
        <v>0.1</v>
      </c>
      <c r="D23" s="273">
        <v>1.56</v>
      </c>
      <c r="E23" s="273">
        <v>1.4280000000000002</v>
      </c>
      <c r="F23" s="273">
        <v>0.85800000000000021</v>
      </c>
      <c r="G23" s="273">
        <v>0.38750000000000007</v>
      </c>
      <c r="H23" s="273">
        <v>0.36</v>
      </c>
      <c r="I23" s="273">
        <v>0.38400000000000006</v>
      </c>
      <c r="J23" s="273">
        <v>0.9</v>
      </c>
      <c r="K23" s="274">
        <v>1.47</v>
      </c>
      <c r="M23" s="281" t="s">
        <v>340</v>
      </c>
      <c r="N23" s="282">
        <v>1.3</v>
      </c>
      <c r="O23" s="267" t="s">
        <v>364</v>
      </c>
      <c r="P23" s="302">
        <v>1.44</v>
      </c>
      <c r="Q23" s="302">
        <v>1.2</v>
      </c>
      <c r="R23" s="302">
        <v>0.96</v>
      </c>
      <c r="S23" s="302">
        <v>0.89999999999999991</v>
      </c>
      <c r="T23" s="302">
        <v>0.84</v>
      </c>
      <c r="U23" s="302">
        <v>0.89999999999999991</v>
      </c>
      <c r="V23" s="302">
        <v>0.96</v>
      </c>
      <c r="W23" s="302">
        <v>1.2</v>
      </c>
      <c r="Y23" s="190"/>
      <c r="Z23" s="190"/>
      <c r="AA23" s="190"/>
    </row>
    <row r="24" spans="1:27" x14ac:dyDescent="0.25">
      <c r="B24" s="275">
        <v>420</v>
      </c>
      <c r="C24" s="276">
        <v>0.2</v>
      </c>
      <c r="D24" s="276">
        <v>1.304</v>
      </c>
      <c r="E24" s="276">
        <v>1.2705</v>
      </c>
      <c r="F24" s="276">
        <v>0.76700000000000002</v>
      </c>
      <c r="G24" s="276">
        <v>0.35000000000000009</v>
      </c>
      <c r="H24" s="276">
        <v>0.32400000000000007</v>
      </c>
      <c r="I24" s="276">
        <v>0.33600000000000008</v>
      </c>
      <c r="J24" s="276">
        <v>0.80400000000000005</v>
      </c>
      <c r="K24" s="277">
        <v>1.32</v>
      </c>
      <c r="M24" s="278" t="s">
        <v>365</v>
      </c>
      <c r="N24" s="279">
        <v>1.2</v>
      </c>
      <c r="Y24" s="190"/>
      <c r="Z24" s="190"/>
      <c r="AA24" s="190"/>
    </row>
    <row r="25" spans="1:27" x14ac:dyDescent="0.25">
      <c r="B25" s="272">
        <v>840</v>
      </c>
      <c r="C25" s="273">
        <v>0.4</v>
      </c>
      <c r="D25" s="273">
        <v>1.1919999999999999</v>
      </c>
      <c r="E25" s="273">
        <v>1.05</v>
      </c>
      <c r="F25" s="273">
        <v>0.63700000000000001</v>
      </c>
      <c r="G25" s="273">
        <v>0.30000000000000004</v>
      </c>
      <c r="H25" s="273">
        <v>0.27599999999999997</v>
      </c>
      <c r="I25" s="273">
        <v>0.28800000000000003</v>
      </c>
      <c r="J25" s="273">
        <v>0.66</v>
      </c>
      <c r="K25" s="274">
        <v>1.1000000000000001</v>
      </c>
      <c r="M25" s="281" t="s">
        <v>366</v>
      </c>
      <c r="N25" s="282">
        <v>1.2</v>
      </c>
      <c r="P25" s="265" t="s">
        <v>367</v>
      </c>
      <c r="Y25" s="190"/>
      <c r="Z25" s="190"/>
      <c r="AA25" s="190"/>
    </row>
    <row r="26" spans="1:27" x14ac:dyDescent="0.25">
      <c r="B26" s="275">
        <v>1260</v>
      </c>
      <c r="C26" s="276">
        <v>0.6</v>
      </c>
      <c r="D26" s="276">
        <v>0.96799999999999997</v>
      </c>
      <c r="E26" s="276">
        <v>0.87149999999999994</v>
      </c>
      <c r="F26" s="276">
        <v>0.52000000000000013</v>
      </c>
      <c r="G26" s="276">
        <v>0.26250000000000007</v>
      </c>
      <c r="H26" s="276">
        <v>0.252</v>
      </c>
      <c r="I26" s="276">
        <v>0.25200000000000006</v>
      </c>
      <c r="J26" s="276">
        <v>0.56400000000000006</v>
      </c>
      <c r="K26" s="277">
        <v>0.90000000000000013</v>
      </c>
      <c r="L26" s="266" t="s">
        <v>342</v>
      </c>
      <c r="M26" s="278" t="s">
        <v>343</v>
      </c>
      <c r="N26" s="284">
        <v>1.0432004092050886</v>
      </c>
      <c r="Y26" s="190"/>
      <c r="Z26" s="190"/>
      <c r="AA26" s="190"/>
    </row>
    <row r="27" spans="1:27" ht="13" x14ac:dyDescent="0.25">
      <c r="B27" s="272">
        <v>1680</v>
      </c>
      <c r="C27" s="273">
        <v>0.8</v>
      </c>
      <c r="D27" s="273">
        <v>0.78400000000000003</v>
      </c>
      <c r="E27" s="273">
        <v>0.71400000000000008</v>
      </c>
      <c r="F27" s="273">
        <v>0.45500000000000002</v>
      </c>
      <c r="G27" s="273">
        <v>0.23750000000000004</v>
      </c>
      <c r="H27" s="273">
        <v>0.22799999999999998</v>
      </c>
      <c r="I27" s="273">
        <v>0.22800000000000004</v>
      </c>
      <c r="J27" s="273">
        <v>0.504</v>
      </c>
      <c r="K27" s="274">
        <v>0.73</v>
      </c>
      <c r="L27" s="266" t="s">
        <v>345</v>
      </c>
      <c r="M27" s="281" t="s">
        <v>346</v>
      </c>
      <c r="N27" s="285">
        <v>1</v>
      </c>
      <c r="P27" s="317" t="s">
        <v>380</v>
      </c>
      <c r="Y27" s="190"/>
      <c r="Z27" s="190"/>
      <c r="AA27" s="190"/>
    </row>
    <row r="28" spans="1:27" x14ac:dyDescent="0.25">
      <c r="B28" s="275">
        <v>2100</v>
      </c>
      <c r="C28" s="276">
        <v>1</v>
      </c>
      <c r="D28" s="276">
        <v>0.64000000000000012</v>
      </c>
      <c r="E28" s="276">
        <v>0.54600000000000004</v>
      </c>
      <c r="F28" s="276">
        <v>0.36400000000000005</v>
      </c>
      <c r="G28" s="276">
        <v>0.21250000000000005</v>
      </c>
      <c r="H28" s="276">
        <v>0.216</v>
      </c>
      <c r="I28" s="276">
        <v>0.20400000000000004</v>
      </c>
      <c r="J28" s="276">
        <v>0.432</v>
      </c>
      <c r="K28" s="277">
        <v>0.63</v>
      </c>
      <c r="L28" s="266" t="s">
        <v>348</v>
      </c>
      <c r="M28" s="278" t="s">
        <v>349</v>
      </c>
      <c r="N28" s="284">
        <v>0.97470132464735315</v>
      </c>
      <c r="P28" s="303">
        <v>8.888073159950423</v>
      </c>
      <c r="Y28" s="190"/>
      <c r="Z28" s="190"/>
      <c r="AA28" s="190"/>
    </row>
    <row r="29" spans="1:27" x14ac:dyDescent="0.25">
      <c r="B29" s="272">
        <v>2520</v>
      </c>
      <c r="C29" s="273">
        <v>1.2</v>
      </c>
      <c r="D29" s="273">
        <v>0.43200000000000005</v>
      </c>
      <c r="E29" s="273">
        <v>0.48299999999999998</v>
      </c>
      <c r="F29" s="273">
        <v>0.32500000000000001</v>
      </c>
      <c r="G29" s="273">
        <v>0.20000000000000004</v>
      </c>
      <c r="H29" s="273">
        <v>0.20400000000000001</v>
      </c>
      <c r="I29" s="273">
        <v>0.19200000000000003</v>
      </c>
      <c r="J29" s="273">
        <v>0.34800000000000003</v>
      </c>
      <c r="K29" s="274">
        <v>0.49999999999999994</v>
      </c>
      <c r="M29" s="286" t="s">
        <v>369</v>
      </c>
      <c r="N29" s="288">
        <v>1.05</v>
      </c>
      <c r="Y29" s="190"/>
      <c r="Z29" s="190"/>
      <c r="AA29" s="190"/>
    </row>
    <row r="30" spans="1:27" x14ac:dyDescent="0.25">
      <c r="B30" s="275">
        <v>2940</v>
      </c>
      <c r="C30" s="276">
        <v>1.4</v>
      </c>
      <c r="D30" s="276">
        <v>0.32000000000000006</v>
      </c>
      <c r="E30" s="276">
        <v>0.35700000000000004</v>
      </c>
      <c r="F30" s="276">
        <v>0.27300000000000002</v>
      </c>
      <c r="G30" s="276">
        <v>0.18750000000000003</v>
      </c>
      <c r="H30" s="276">
        <v>0.192</v>
      </c>
      <c r="I30" s="276">
        <v>0.18000000000000002</v>
      </c>
      <c r="J30" s="276">
        <v>0.33600000000000008</v>
      </c>
      <c r="K30" s="277">
        <v>0.43000000000000005</v>
      </c>
      <c r="M30" s="267" t="s">
        <v>351</v>
      </c>
    </row>
    <row r="31" spans="1:27" x14ac:dyDescent="0.25">
      <c r="B31" s="272">
        <v>3360</v>
      </c>
      <c r="C31" s="273">
        <v>1.6</v>
      </c>
      <c r="D31" s="273">
        <v>0.22400000000000003</v>
      </c>
      <c r="E31" s="273">
        <v>0.315</v>
      </c>
      <c r="F31" s="273">
        <v>0.24700000000000003</v>
      </c>
      <c r="G31" s="273">
        <v>0.17500000000000004</v>
      </c>
      <c r="H31" s="273">
        <v>0.16800000000000001</v>
      </c>
      <c r="I31" s="273">
        <v>0.15600000000000003</v>
      </c>
      <c r="J31" s="273">
        <v>0.27600000000000002</v>
      </c>
      <c r="K31" s="274">
        <v>0.36</v>
      </c>
    </row>
    <row r="32" spans="1:27" x14ac:dyDescent="0.25">
      <c r="B32" s="275">
        <v>3780</v>
      </c>
      <c r="C32" s="276">
        <v>1.8</v>
      </c>
      <c r="D32" s="276">
        <v>0.17600000000000002</v>
      </c>
      <c r="E32" s="276">
        <v>0.26250000000000001</v>
      </c>
      <c r="F32" s="276">
        <v>0.20800000000000002</v>
      </c>
      <c r="G32" s="276">
        <v>0.16250000000000003</v>
      </c>
      <c r="H32" s="276">
        <v>0.16800000000000001</v>
      </c>
      <c r="I32" s="276">
        <v>0.15600000000000003</v>
      </c>
      <c r="J32" s="276">
        <v>0.24000000000000002</v>
      </c>
      <c r="K32" s="277">
        <v>0.32</v>
      </c>
      <c r="M32" s="286" t="s">
        <v>381</v>
      </c>
      <c r="N32" s="288">
        <v>1.052400750422827</v>
      </c>
    </row>
    <row r="33" spans="1:21" ht="13" thickBot="1" x14ac:dyDescent="0.3">
      <c r="B33" s="289">
        <v>4200</v>
      </c>
      <c r="C33" s="290">
        <v>2</v>
      </c>
      <c r="D33" s="290">
        <v>0.14399999999999999</v>
      </c>
      <c r="E33" s="290">
        <v>0.19949999999999998</v>
      </c>
      <c r="F33" s="290">
        <v>0.19500000000000001</v>
      </c>
      <c r="G33" s="290">
        <v>0.15000000000000002</v>
      </c>
      <c r="H33" s="290">
        <v>0.16800000000000001</v>
      </c>
      <c r="I33" s="290">
        <v>0.14400000000000002</v>
      </c>
      <c r="J33" s="290">
        <v>0.22800000000000001</v>
      </c>
      <c r="K33" s="291">
        <v>0.23999999999999996</v>
      </c>
      <c r="M33" s="267" t="s">
        <v>370</v>
      </c>
    </row>
    <row r="34" spans="1:21" x14ac:dyDescent="0.25">
      <c r="B34" s="322"/>
      <c r="C34" s="323"/>
      <c r="D34" s="323"/>
      <c r="E34" s="323"/>
      <c r="F34" s="323"/>
      <c r="G34" s="323"/>
      <c r="H34" s="323"/>
      <c r="I34" s="323"/>
      <c r="J34" s="323"/>
      <c r="K34" s="323"/>
      <c r="L34" s="292" t="s">
        <v>342</v>
      </c>
      <c r="M34" s="293" t="s">
        <v>343</v>
      </c>
      <c r="N34" s="294">
        <v>1.0432004092050886</v>
      </c>
    </row>
    <row r="35" spans="1:21" x14ac:dyDescent="0.25">
      <c r="B35" s="322"/>
      <c r="C35" s="323"/>
      <c r="D35" s="323"/>
      <c r="E35" s="323"/>
      <c r="F35" s="323"/>
      <c r="G35" s="323"/>
      <c r="H35" s="323"/>
      <c r="I35" s="323"/>
      <c r="J35" s="323"/>
      <c r="K35" s="323"/>
      <c r="L35" s="295" t="s">
        <v>348</v>
      </c>
      <c r="M35" s="296" t="s">
        <v>349</v>
      </c>
      <c r="N35" s="297">
        <v>0.97470132464735315</v>
      </c>
    </row>
    <row r="36" spans="1:21" ht="13" thickBot="1" x14ac:dyDescent="0.3">
      <c r="B36" s="322"/>
      <c r="C36" s="323"/>
      <c r="D36" s="323"/>
      <c r="E36" s="323"/>
      <c r="F36" s="323"/>
      <c r="G36" s="323"/>
      <c r="H36" s="323"/>
      <c r="I36" s="323"/>
      <c r="J36" s="323"/>
      <c r="K36" s="323"/>
      <c r="L36" s="298" t="s">
        <v>345</v>
      </c>
      <c r="M36" s="299" t="s">
        <v>346</v>
      </c>
      <c r="N36" s="300">
        <v>1</v>
      </c>
    </row>
    <row r="38" spans="1:21" x14ac:dyDescent="0.25">
      <c r="A38" s="318" t="s">
        <v>353</v>
      </c>
      <c r="B38" s="265" t="s">
        <v>354</v>
      </c>
      <c r="M38" s="827" t="s">
        <v>382</v>
      </c>
      <c r="N38" s="827"/>
      <c r="P38" s="265" t="s">
        <v>356</v>
      </c>
      <c r="S38" s="190"/>
      <c r="T38" s="190"/>
      <c r="U38" s="190"/>
    </row>
    <row r="39" spans="1:21" x14ac:dyDescent="0.25">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0.67239999999999989</v>
      </c>
      <c r="E41" s="273">
        <v>0.92649999999999988</v>
      </c>
      <c r="F41" s="273">
        <v>1.0471999999999999</v>
      </c>
      <c r="G41" s="273">
        <v>0.61440000000000006</v>
      </c>
      <c r="H41" s="273">
        <v>0.27200000000000002</v>
      </c>
      <c r="I41" s="273">
        <v>0.67080000000000006</v>
      </c>
      <c r="J41" s="273">
        <v>1.157</v>
      </c>
      <c r="K41" s="274">
        <v>0.9917999999999999</v>
      </c>
      <c r="M41" s="304" t="s">
        <v>334</v>
      </c>
      <c r="N41" s="271" t="s">
        <v>335</v>
      </c>
      <c r="P41" s="304" t="s">
        <v>336</v>
      </c>
      <c r="Q41" s="271" t="s">
        <v>337</v>
      </c>
      <c r="S41" s="190"/>
      <c r="T41" s="190"/>
      <c r="U41" s="190"/>
    </row>
    <row r="42" spans="1:21" x14ac:dyDescent="0.25">
      <c r="B42" s="275">
        <v>105</v>
      </c>
      <c r="C42" s="308">
        <v>0.05</v>
      </c>
      <c r="D42" s="276">
        <v>0.56579999999999986</v>
      </c>
      <c r="E42" s="276">
        <v>0.81599999999999984</v>
      </c>
      <c r="F42" s="276">
        <v>0.9416000000000001</v>
      </c>
      <c r="G42" s="276">
        <v>0.54400000000000004</v>
      </c>
      <c r="H42" s="276">
        <v>0.22799999999999998</v>
      </c>
      <c r="I42" s="276">
        <v>0.59340000000000004</v>
      </c>
      <c r="J42" s="276">
        <v>1.0590999999999999</v>
      </c>
      <c r="K42" s="277">
        <v>0.88919999999999999</v>
      </c>
      <c r="M42" s="278" t="s">
        <v>338</v>
      </c>
      <c r="N42" s="284">
        <v>0.52</v>
      </c>
      <c r="P42" s="278" t="s">
        <v>339</v>
      </c>
      <c r="Q42" s="280">
        <v>3.3440786209938164E-2</v>
      </c>
      <c r="S42" s="190"/>
      <c r="T42" s="190"/>
      <c r="U42" s="190"/>
    </row>
    <row r="43" spans="1:21" x14ac:dyDescent="0.25">
      <c r="B43" s="272">
        <v>210</v>
      </c>
      <c r="C43" s="307">
        <v>0.1</v>
      </c>
      <c r="D43" s="273">
        <v>0.51659999999999995</v>
      </c>
      <c r="E43" s="273">
        <v>0.74799999999999989</v>
      </c>
      <c r="F43" s="273">
        <v>0.88880000000000003</v>
      </c>
      <c r="G43" s="273">
        <v>0.50560000000000005</v>
      </c>
      <c r="H43" s="273">
        <v>0.216</v>
      </c>
      <c r="I43" s="273">
        <v>0.55469999999999997</v>
      </c>
      <c r="J43" s="273">
        <v>0.98790000000000011</v>
      </c>
      <c r="K43" s="274">
        <v>0.80369999999999997</v>
      </c>
      <c r="M43" s="281" t="s">
        <v>340</v>
      </c>
      <c r="N43" s="285">
        <v>1.45</v>
      </c>
      <c r="P43" s="281" t="s">
        <v>341</v>
      </c>
      <c r="Q43" s="283">
        <v>4.2598935627559953E-2</v>
      </c>
      <c r="S43" s="190"/>
      <c r="T43" s="190"/>
      <c r="U43" s="190"/>
    </row>
    <row r="44" spans="1:21" x14ac:dyDescent="0.25">
      <c r="B44" s="275">
        <v>420</v>
      </c>
      <c r="C44" s="308">
        <v>0.2</v>
      </c>
      <c r="D44" s="276">
        <v>0.41819999999999991</v>
      </c>
      <c r="E44" s="276">
        <v>0.6459999999999998</v>
      </c>
      <c r="F44" s="276">
        <v>0.7831999999999999</v>
      </c>
      <c r="G44" s="276">
        <v>0.44800000000000001</v>
      </c>
      <c r="H44" s="276">
        <v>0.192</v>
      </c>
      <c r="I44" s="276">
        <v>0.49020000000000002</v>
      </c>
      <c r="J44" s="276">
        <v>0.88109999999999999</v>
      </c>
      <c r="K44" s="277">
        <v>0.70965</v>
      </c>
      <c r="L44" s="266" t="s">
        <v>342</v>
      </c>
      <c r="M44" s="278" t="s">
        <v>343</v>
      </c>
      <c r="N44" s="284">
        <v>1</v>
      </c>
      <c r="P44" s="278" t="s">
        <v>344</v>
      </c>
      <c r="Q44" s="280">
        <v>4.7686796415127602E-2</v>
      </c>
      <c r="S44" s="190"/>
      <c r="T44" s="190"/>
      <c r="U44" s="190"/>
    </row>
    <row r="45" spans="1:21" x14ac:dyDescent="0.25">
      <c r="B45" s="272">
        <v>840</v>
      </c>
      <c r="C45" s="307">
        <v>0.4</v>
      </c>
      <c r="D45" s="273">
        <v>0.31979999999999997</v>
      </c>
      <c r="E45" s="273">
        <v>0.49299999999999988</v>
      </c>
      <c r="F45" s="273">
        <v>0.62479999999999991</v>
      </c>
      <c r="G45" s="273">
        <v>0.36480000000000001</v>
      </c>
      <c r="H45" s="273">
        <v>0.15200000000000002</v>
      </c>
      <c r="I45" s="273">
        <v>0.39990000000000003</v>
      </c>
      <c r="J45" s="273">
        <v>0.72089999999999999</v>
      </c>
      <c r="K45" s="274">
        <v>0.53010000000000002</v>
      </c>
      <c r="L45" s="266" t="s">
        <v>345</v>
      </c>
      <c r="M45" s="281" t="s">
        <v>346</v>
      </c>
      <c r="N45" s="285">
        <v>0.78</v>
      </c>
      <c r="P45" s="286" t="s">
        <v>347</v>
      </c>
      <c r="Q45" s="287">
        <v>5.0513385741554076E-2</v>
      </c>
      <c r="S45" s="190"/>
      <c r="T45" s="190"/>
      <c r="U45" s="190"/>
    </row>
    <row r="46" spans="1:21" x14ac:dyDescent="0.25">
      <c r="B46" s="275">
        <v>1260</v>
      </c>
      <c r="C46" s="308">
        <v>0.6</v>
      </c>
      <c r="D46" s="276">
        <v>0.28699999999999992</v>
      </c>
      <c r="E46" s="276">
        <v>0.3909999999999999</v>
      </c>
      <c r="F46" s="276">
        <v>0.51039999999999996</v>
      </c>
      <c r="G46" s="276">
        <v>0.30080000000000001</v>
      </c>
      <c r="H46" s="276">
        <v>0.13200000000000001</v>
      </c>
      <c r="I46" s="276">
        <v>0.32895000000000002</v>
      </c>
      <c r="J46" s="276">
        <v>0.57850000000000001</v>
      </c>
      <c r="K46" s="277">
        <v>0.41039999999999993</v>
      </c>
      <c r="L46" s="266" t="s">
        <v>348</v>
      </c>
      <c r="M46" s="309" t="s">
        <v>349</v>
      </c>
      <c r="N46" s="310">
        <v>0.73</v>
      </c>
      <c r="S46" s="190"/>
      <c r="T46" s="190"/>
      <c r="U46" s="190"/>
    </row>
    <row r="47" spans="1:21" x14ac:dyDescent="0.25">
      <c r="B47" s="272">
        <v>1680</v>
      </c>
      <c r="C47" s="307">
        <v>0.8</v>
      </c>
      <c r="D47" s="273">
        <v>0.24599999999999994</v>
      </c>
      <c r="E47" s="273">
        <v>0.31449999999999995</v>
      </c>
      <c r="F47" s="273">
        <v>0.43999999999999995</v>
      </c>
      <c r="G47" s="273">
        <v>0.25600000000000006</v>
      </c>
      <c r="H47" s="273">
        <v>0.11200000000000002</v>
      </c>
      <c r="I47" s="273">
        <v>0.27734999999999999</v>
      </c>
      <c r="J47" s="273">
        <v>0.46280000000000004</v>
      </c>
      <c r="K47" s="274">
        <v>0.34199999999999997</v>
      </c>
      <c r="S47" s="190"/>
      <c r="T47" s="190"/>
      <c r="U47" s="190"/>
    </row>
    <row r="48" spans="1:21" ht="13" thickBot="1" x14ac:dyDescent="0.3">
      <c r="B48" s="275">
        <v>2100</v>
      </c>
      <c r="C48" s="308">
        <v>1</v>
      </c>
      <c r="D48" s="276">
        <v>0.21319999999999997</v>
      </c>
      <c r="E48" s="276">
        <v>0.26349999999999996</v>
      </c>
      <c r="F48" s="276">
        <v>0.36959999999999998</v>
      </c>
      <c r="G48" s="276">
        <v>0.21760000000000004</v>
      </c>
      <c r="H48" s="276">
        <v>0.1</v>
      </c>
      <c r="I48" s="276">
        <v>0.23865</v>
      </c>
      <c r="J48" s="276">
        <v>0.40940000000000004</v>
      </c>
      <c r="K48" s="277">
        <v>0.26505000000000001</v>
      </c>
      <c r="M48" s="267" t="s">
        <v>357</v>
      </c>
      <c r="S48" s="190"/>
      <c r="T48" s="190"/>
      <c r="U48" s="190"/>
    </row>
    <row r="49" spans="1:27" x14ac:dyDescent="0.25">
      <c r="B49" s="272">
        <v>2520</v>
      </c>
      <c r="C49" s="307">
        <v>1.2</v>
      </c>
      <c r="D49" s="273">
        <v>0.19679999999999995</v>
      </c>
      <c r="E49" s="273">
        <v>0.22099999999999995</v>
      </c>
      <c r="F49" s="273">
        <v>0.31679999999999997</v>
      </c>
      <c r="G49" s="273">
        <v>0.192</v>
      </c>
      <c r="H49" s="273">
        <v>8.7999999999999995E-2</v>
      </c>
      <c r="I49" s="273">
        <v>0.21285000000000001</v>
      </c>
      <c r="J49" s="273">
        <v>0.35600000000000004</v>
      </c>
      <c r="K49" s="274">
        <v>0.23085</v>
      </c>
      <c r="L49" s="292" t="s">
        <v>342</v>
      </c>
      <c r="M49" s="293" t="s">
        <v>343</v>
      </c>
      <c r="N49" s="294">
        <v>1</v>
      </c>
      <c r="S49" s="190"/>
      <c r="T49" s="190"/>
      <c r="U49" s="190"/>
    </row>
    <row r="50" spans="1:27" x14ac:dyDescent="0.25">
      <c r="B50" s="275">
        <v>2940</v>
      </c>
      <c r="C50" s="308">
        <v>1.4</v>
      </c>
      <c r="D50" s="276">
        <v>0.17219999999999996</v>
      </c>
      <c r="E50" s="276">
        <v>0.19549999999999995</v>
      </c>
      <c r="F50" s="276">
        <v>0.28160000000000002</v>
      </c>
      <c r="G50" s="276">
        <v>0.17280000000000004</v>
      </c>
      <c r="H50" s="276">
        <v>0.08</v>
      </c>
      <c r="I50" s="276">
        <v>0.18704999999999999</v>
      </c>
      <c r="J50" s="276">
        <v>0.30260000000000004</v>
      </c>
      <c r="K50" s="277">
        <v>0.20519999999999997</v>
      </c>
      <c r="L50" s="295" t="s">
        <v>348</v>
      </c>
      <c r="M50" s="296" t="s">
        <v>349</v>
      </c>
      <c r="N50" s="297">
        <v>0.73</v>
      </c>
      <c r="T50" s="333"/>
    </row>
    <row r="51" spans="1:27" ht="13" thickBot="1" x14ac:dyDescent="0.3">
      <c r="B51" s="272">
        <v>3360</v>
      </c>
      <c r="C51" s="307">
        <v>1.6</v>
      </c>
      <c r="D51" s="273">
        <v>0.16399999999999998</v>
      </c>
      <c r="E51" s="273">
        <v>0.18699999999999997</v>
      </c>
      <c r="F51" s="273">
        <v>0.25519999999999998</v>
      </c>
      <c r="G51" s="273">
        <v>0.14720000000000003</v>
      </c>
      <c r="H51" s="273">
        <v>7.1999999999999995E-2</v>
      </c>
      <c r="I51" s="273">
        <v>0.17415000000000003</v>
      </c>
      <c r="J51" s="273">
        <v>0.26700000000000002</v>
      </c>
      <c r="K51" s="274">
        <v>0.17954999999999999</v>
      </c>
      <c r="L51" s="298" t="s">
        <v>345</v>
      </c>
      <c r="M51" s="299" t="s">
        <v>346</v>
      </c>
      <c r="N51" s="300">
        <v>0.78</v>
      </c>
    </row>
    <row r="52" spans="1:27" x14ac:dyDescent="0.25">
      <c r="B52" s="275">
        <v>3780</v>
      </c>
      <c r="C52" s="308">
        <v>1.8</v>
      </c>
      <c r="D52" s="276">
        <v>0.14759999999999998</v>
      </c>
      <c r="E52" s="276">
        <v>0.16999999999999998</v>
      </c>
      <c r="F52" s="276">
        <v>0.21999999999999997</v>
      </c>
      <c r="G52" s="276">
        <v>0.13440000000000002</v>
      </c>
      <c r="H52" s="276">
        <v>6.8000000000000005E-2</v>
      </c>
      <c r="I52" s="276">
        <v>0.14835000000000001</v>
      </c>
      <c r="J52" s="276">
        <v>0.24030000000000001</v>
      </c>
      <c r="K52" s="277">
        <v>0.17099999999999999</v>
      </c>
    </row>
    <row r="53" spans="1:27" x14ac:dyDescent="0.25">
      <c r="B53" s="289">
        <v>4200</v>
      </c>
      <c r="C53" s="311">
        <v>2</v>
      </c>
      <c r="D53" s="290">
        <v>0.1394</v>
      </c>
      <c r="E53" s="290">
        <v>0.14449999999999999</v>
      </c>
      <c r="F53" s="290">
        <v>0.2112</v>
      </c>
      <c r="G53" s="290">
        <v>0.13440000000000002</v>
      </c>
      <c r="H53" s="290">
        <v>6.4000000000000001E-2</v>
      </c>
      <c r="I53" s="290">
        <v>0.13544999999999999</v>
      </c>
      <c r="J53" s="290">
        <v>0.22249999999999998</v>
      </c>
      <c r="K53" s="291">
        <v>0.16245000000000001</v>
      </c>
    </row>
    <row r="55" spans="1:27" x14ac:dyDescent="0.25">
      <c r="A55" s="319" t="s">
        <v>371</v>
      </c>
      <c r="B55" s="265" t="s">
        <v>360</v>
      </c>
      <c r="M55" s="827" t="s">
        <v>383</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1.6079999999999999</v>
      </c>
      <c r="E58" s="273">
        <v>1.2033333333333334</v>
      </c>
      <c r="F58" s="273">
        <v>1.0010000000000001</v>
      </c>
      <c r="G58" s="273">
        <v>0.65433333333333343</v>
      </c>
      <c r="H58" s="273">
        <v>0.48099999999999998</v>
      </c>
      <c r="I58" s="273">
        <v>0.95366666666666666</v>
      </c>
      <c r="J58" s="273">
        <v>1.19</v>
      </c>
      <c r="K58" s="274">
        <v>1.4686666666666666</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1.56</v>
      </c>
      <c r="E59" s="276">
        <v>1.1545495495495495</v>
      </c>
      <c r="F59" s="276">
        <v>0.91</v>
      </c>
      <c r="G59" s="276">
        <v>0.55366666666666675</v>
      </c>
      <c r="H59" s="276">
        <v>0.40299999999999997</v>
      </c>
      <c r="I59" s="276">
        <v>0.80694871794871792</v>
      </c>
      <c r="J59" s="276">
        <v>1.0920000000000001</v>
      </c>
      <c r="K59" s="277">
        <v>1.4035991561181433</v>
      </c>
      <c r="M59" s="278" t="s">
        <v>338</v>
      </c>
      <c r="N59" s="284">
        <v>1</v>
      </c>
      <c r="P59" s="312">
        <v>1.2</v>
      </c>
      <c r="Q59" s="313">
        <v>1</v>
      </c>
      <c r="R59" s="313">
        <v>0.8</v>
      </c>
      <c r="S59" s="313">
        <v>0.8</v>
      </c>
      <c r="T59" s="313">
        <v>0.8</v>
      </c>
      <c r="U59" s="313">
        <v>0.85000000000000009</v>
      </c>
      <c r="V59" s="313">
        <v>0.9</v>
      </c>
      <c r="W59" s="310">
        <v>1.05</v>
      </c>
      <c r="Y59" s="190"/>
      <c r="Z59" s="190"/>
      <c r="AA59" s="190"/>
    </row>
    <row r="60" spans="1:27" x14ac:dyDescent="0.25">
      <c r="B60" s="272">
        <v>210</v>
      </c>
      <c r="C60" s="307">
        <v>0.1</v>
      </c>
      <c r="D60" s="273">
        <v>1.56</v>
      </c>
      <c r="E60" s="273">
        <v>1.1057657657657658</v>
      </c>
      <c r="F60" s="273">
        <v>0.85800000000000021</v>
      </c>
      <c r="G60" s="273">
        <v>0.52011111111111119</v>
      </c>
      <c r="H60" s="273">
        <v>0.38999999999999996</v>
      </c>
      <c r="I60" s="273">
        <v>0.78249572649572652</v>
      </c>
      <c r="J60" s="273">
        <v>1.0499999999999998</v>
      </c>
      <c r="K60" s="274">
        <v>1.3664177215189872</v>
      </c>
      <c r="M60" s="281" t="s">
        <v>340</v>
      </c>
      <c r="N60" s="285">
        <v>1.2</v>
      </c>
      <c r="O60" s="267" t="s">
        <v>364</v>
      </c>
      <c r="P60" s="302">
        <v>0.72</v>
      </c>
      <c r="Q60" s="302">
        <v>0.6</v>
      </c>
      <c r="R60" s="302">
        <v>0.48</v>
      </c>
      <c r="S60" s="302">
        <v>0.48</v>
      </c>
      <c r="T60" s="302">
        <v>0.48</v>
      </c>
      <c r="U60" s="302">
        <v>0.51</v>
      </c>
      <c r="V60" s="302">
        <v>0.54</v>
      </c>
      <c r="W60" s="302">
        <v>0.63</v>
      </c>
      <c r="Y60" s="190"/>
      <c r="Z60" s="190"/>
      <c r="AA60" s="190"/>
    </row>
    <row r="61" spans="1:27" x14ac:dyDescent="0.25">
      <c r="B61" s="275">
        <v>420</v>
      </c>
      <c r="C61" s="308">
        <v>0.2</v>
      </c>
      <c r="D61" s="276">
        <v>1.304</v>
      </c>
      <c r="E61" s="276">
        <v>0.98380630630630628</v>
      </c>
      <c r="F61" s="276">
        <v>0.76700000000000002</v>
      </c>
      <c r="G61" s="276">
        <v>0.46977777777777785</v>
      </c>
      <c r="H61" s="276">
        <v>0.35100000000000003</v>
      </c>
      <c r="I61" s="276">
        <v>0.68468376068376069</v>
      </c>
      <c r="J61" s="276">
        <v>0.93800000000000006</v>
      </c>
      <c r="K61" s="277">
        <v>1.2269873417721517</v>
      </c>
      <c r="M61" s="278" t="s">
        <v>365</v>
      </c>
      <c r="N61" s="284">
        <v>0.6</v>
      </c>
      <c r="Y61" s="190"/>
      <c r="Z61" s="190"/>
      <c r="AA61" s="190"/>
    </row>
    <row r="62" spans="1:27" x14ac:dyDescent="0.25">
      <c r="B62" s="272">
        <v>840</v>
      </c>
      <c r="C62" s="307">
        <v>0.4</v>
      </c>
      <c r="D62" s="273">
        <v>1.1919999999999999</v>
      </c>
      <c r="E62" s="273">
        <v>0.81306306306306309</v>
      </c>
      <c r="F62" s="273">
        <v>0.63700000000000001</v>
      </c>
      <c r="G62" s="273">
        <v>0.40266666666666667</v>
      </c>
      <c r="H62" s="273">
        <v>0.29899999999999999</v>
      </c>
      <c r="I62" s="273">
        <v>0.58687179487179475</v>
      </c>
      <c r="J62" s="273">
        <v>0.77</v>
      </c>
      <c r="K62" s="274">
        <v>1.0224894514767933</v>
      </c>
      <c r="M62" s="281" t="s">
        <v>366</v>
      </c>
      <c r="N62" s="285">
        <v>0.56999999999999995</v>
      </c>
      <c r="P62" s="265" t="s">
        <v>373</v>
      </c>
      <c r="Y62" s="190"/>
      <c r="Z62" s="190"/>
      <c r="AA62" s="190"/>
    </row>
    <row r="63" spans="1:27" ht="13" thickBot="1" x14ac:dyDescent="0.3">
      <c r="B63" s="275">
        <v>1260</v>
      </c>
      <c r="C63" s="308">
        <v>0.6</v>
      </c>
      <c r="D63" s="276">
        <v>0.96799999999999997</v>
      </c>
      <c r="E63" s="276">
        <v>0.67484234234234231</v>
      </c>
      <c r="F63" s="276">
        <v>0.52000000000000013</v>
      </c>
      <c r="G63" s="276">
        <v>0.35233333333333339</v>
      </c>
      <c r="H63" s="276">
        <v>0.27299999999999996</v>
      </c>
      <c r="I63" s="276">
        <v>0.51351282051282043</v>
      </c>
      <c r="J63" s="276">
        <v>0.65800000000000003</v>
      </c>
      <c r="K63" s="277">
        <v>0.83658227848101263</v>
      </c>
      <c r="L63" s="266" t="s">
        <v>342</v>
      </c>
      <c r="M63" s="278" t="s">
        <v>343</v>
      </c>
      <c r="N63" s="284">
        <v>1</v>
      </c>
      <c r="Y63" s="190"/>
      <c r="Z63" s="190"/>
      <c r="AA63" s="190"/>
    </row>
    <row r="64" spans="1:27" ht="13.5" thickBot="1" x14ac:dyDescent="0.3">
      <c r="B64" s="272">
        <v>1680</v>
      </c>
      <c r="C64" s="307">
        <v>0.8</v>
      </c>
      <c r="D64" s="273">
        <v>0.78400000000000003</v>
      </c>
      <c r="E64" s="273">
        <v>0.5528828828828829</v>
      </c>
      <c r="F64" s="273">
        <v>0.45500000000000002</v>
      </c>
      <c r="G64" s="273">
        <v>0.31877777777777783</v>
      </c>
      <c r="H64" s="273">
        <v>0.24699999999999997</v>
      </c>
      <c r="I64" s="273">
        <v>0.46460683760683757</v>
      </c>
      <c r="J64" s="273">
        <v>0.58799999999999997</v>
      </c>
      <c r="K64" s="274">
        <v>0.67856118143459909</v>
      </c>
      <c r="L64" s="266" t="s">
        <v>345</v>
      </c>
      <c r="M64" s="281" t="s">
        <v>346</v>
      </c>
      <c r="N64" s="285">
        <v>0.93</v>
      </c>
      <c r="P64" s="320" t="s">
        <v>374</v>
      </c>
      <c r="Y64" s="190"/>
      <c r="Z64" s="190"/>
      <c r="AA64" s="190"/>
    </row>
    <row r="65" spans="2:27" ht="13.5" thickBot="1" x14ac:dyDescent="0.3">
      <c r="B65" s="275">
        <v>2100</v>
      </c>
      <c r="C65" s="308">
        <v>1</v>
      </c>
      <c r="D65" s="276">
        <v>0.64000000000000012</v>
      </c>
      <c r="E65" s="276">
        <v>0.4227927927927928</v>
      </c>
      <c r="F65" s="276">
        <v>0.36400000000000005</v>
      </c>
      <c r="G65" s="276">
        <v>0.28522222222222227</v>
      </c>
      <c r="H65" s="276">
        <v>0.23399999999999999</v>
      </c>
      <c r="I65" s="276">
        <v>0.41570085470085472</v>
      </c>
      <c r="J65" s="276">
        <v>0.504</v>
      </c>
      <c r="K65" s="277">
        <v>0.58560759493670878</v>
      </c>
      <c r="L65" s="266" t="s">
        <v>348</v>
      </c>
      <c r="M65" s="309" t="s">
        <v>349</v>
      </c>
      <c r="N65" s="310">
        <v>0.9</v>
      </c>
      <c r="P65" s="321">
        <v>8.3159469233965719</v>
      </c>
      <c r="Y65" s="190"/>
      <c r="Z65" s="190"/>
      <c r="AA65" s="190"/>
    </row>
    <row r="66" spans="2:27" x14ac:dyDescent="0.25">
      <c r="B66" s="272">
        <v>2520</v>
      </c>
      <c r="C66" s="307">
        <v>1.2</v>
      </c>
      <c r="D66" s="273">
        <v>0.43200000000000005</v>
      </c>
      <c r="E66" s="273">
        <v>0.37400900900900902</v>
      </c>
      <c r="F66" s="273">
        <v>0.32500000000000001</v>
      </c>
      <c r="G66" s="273">
        <v>0.26844444444444449</v>
      </c>
      <c r="H66" s="273">
        <v>0.221</v>
      </c>
      <c r="I66" s="273">
        <v>0.39124786324786326</v>
      </c>
      <c r="J66" s="273">
        <v>0.40599999999999997</v>
      </c>
      <c r="K66" s="274">
        <v>0.46476793248945142</v>
      </c>
      <c r="Y66" s="190"/>
      <c r="Z66" s="190"/>
      <c r="AA66" s="190"/>
    </row>
    <row r="67" spans="2:27" ht="13" thickBot="1" x14ac:dyDescent="0.3">
      <c r="B67" s="275">
        <v>2940</v>
      </c>
      <c r="C67" s="308">
        <v>1.4</v>
      </c>
      <c r="D67" s="276">
        <v>0.32000000000000006</v>
      </c>
      <c r="E67" s="276">
        <v>0.27644144144144145</v>
      </c>
      <c r="F67" s="276">
        <v>0.27300000000000002</v>
      </c>
      <c r="G67" s="276">
        <v>0.25166666666666671</v>
      </c>
      <c r="H67" s="276">
        <v>0.20799999999999999</v>
      </c>
      <c r="I67" s="276">
        <v>0.36679487179487175</v>
      </c>
      <c r="J67" s="276">
        <v>0.39200000000000007</v>
      </c>
      <c r="K67" s="277">
        <v>0.39970042194092825</v>
      </c>
      <c r="M67" s="267" t="s">
        <v>375</v>
      </c>
    </row>
    <row r="68" spans="2:27" x14ac:dyDescent="0.25">
      <c r="B68" s="272">
        <v>3360</v>
      </c>
      <c r="C68" s="307">
        <v>1.6</v>
      </c>
      <c r="D68" s="273">
        <v>0.22400000000000003</v>
      </c>
      <c r="E68" s="273">
        <v>0.2439189189189189</v>
      </c>
      <c r="F68" s="273">
        <v>0.24700000000000003</v>
      </c>
      <c r="G68" s="273">
        <v>0.23488888888888892</v>
      </c>
      <c r="H68" s="273">
        <v>0.182</v>
      </c>
      <c r="I68" s="273">
        <v>0.31788888888888889</v>
      </c>
      <c r="J68" s="273">
        <v>0.32200000000000001</v>
      </c>
      <c r="K68" s="274">
        <v>0.33463291139240503</v>
      </c>
      <c r="L68" s="292" t="s">
        <v>342</v>
      </c>
      <c r="M68" s="293" t="s">
        <v>340</v>
      </c>
      <c r="N68" s="294">
        <v>1</v>
      </c>
    </row>
    <row r="69" spans="2:27" x14ac:dyDescent="0.25">
      <c r="B69" s="275">
        <v>3780</v>
      </c>
      <c r="C69" s="308">
        <v>1.8</v>
      </c>
      <c r="D69" s="276">
        <v>0.17600000000000002</v>
      </c>
      <c r="E69" s="276">
        <v>0.20326576576576577</v>
      </c>
      <c r="F69" s="276">
        <v>0.20800000000000002</v>
      </c>
      <c r="G69" s="276">
        <v>0.21811111111111114</v>
      </c>
      <c r="H69" s="276">
        <v>0.182</v>
      </c>
      <c r="I69" s="276">
        <v>0.31788888888888889</v>
      </c>
      <c r="J69" s="276">
        <v>0.28000000000000003</v>
      </c>
      <c r="K69" s="277">
        <v>0.2974514767932489</v>
      </c>
      <c r="L69" s="295" t="s">
        <v>348</v>
      </c>
      <c r="M69" s="296" t="s">
        <v>366</v>
      </c>
      <c r="N69" s="297">
        <v>0.9</v>
      </c>
    </row>
    <row r="70" spans="2:27" ht="13" thickBot="1" x14ac:dyDescent="0.3">
      <c r="B70" s="289">
        <v>4200</v>
      </c>
      <c r="C70" s="311">
        <v>2</v>
      </c>
      <c r="D70" s="290">
        <v>0.14399999999999999</v>
      </c>
      <c r="E70" s="290">
        <v>0.15448198198198199</v>
      </c>
      <c r="F70" s="290">
        <v>0.19500000000000001</v>
      </c>
      <c r="G70" s="290">
        <v>0.20133333333333334</v>
      </c>
      <c r="H70" s="290">
        <v>0.182</v>
      </c>
      <c r="I70" s="290">
        <v>0.29343589743589737</v>
      </c>
      <c r="J70" s="290">
        <v>0.26600000000000001</v>
      </c>
      <c r="K70" s="291">
        <v>0.22308860759493665</v>
      </c>
      <c r="L70" s="298" t="s">
        <v>345</v>
      </c>
      <c r="M70" s="299" t="s">
        <v>365</v>
      </c>
      <c r="N70" s="300">
        <v>0.93</v>
      </c>
    </row>
  </sheetData>
  <mergeCells count="5">
    <mergeCell ref="M55:N55"/>
    <mergeCell ref="M1:N1"/>
    <mergeCell ref="P1:Q1"/>
    <mergeCell ref="M18:N18"/>
    <mergeCell ref="M38:N3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70"/>
  <sheetViews>
    <sheetView topLeftCell="H7"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358</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0.98399999999999987</v>
      </c>
      <c r="E3" s="273">
        <v>1.1444999999999999</v>
      </c>
      <c r="F3" s="273">
        <v>1.071</v>
      </c>
      <c r="G3" s="273">
        <v>0.6</v>
      </c>
      <c r="H3" s="273">
        <v>0.23799999999999999</v>
      </c>
      <c r="I3" s="273">
        <v>0.77999999999999992</v>
      </c>
      <c r="J3" s="273">
        <v>1.4949999999999999</v>
      </c>
      <c r="K3" s="274">
        <v>1.3629999999999998</v>
      </c>
      <c r="S3" s="190"/>
      <c r="T3" s="190"/>
      <c r="U3" s="190"/>
    </row>
    <row r="4" spans="1:21" ht="13" x14ac:dyDescent="0.25">
      <c r="B4" s="275">
        <v>105</v>
      </c>
      <c r="C4" s="276">
        <v>0.05</v>
      </c>
      <c r="D4" s="276">
        <v>0.82799999999999985</v>
      </c>
      <c r="E4" s="276">
        <v>1.0079999999999998</v>
      </c>
      <c r="F4" s="276">
        <v>0.96300000000000008</v>
      </c>
      <c r="G4" s="276">
        <v>0.53125</v>
      </c>
      <c r="H4" s="276">
        <v>0.19949999999999998</v>
      </c>
      <c r="I4" s="276">
        <v>0.69</v>
      </c>
      <c r="J4" s="276">
        <v>1.3684999999999998</v>
      </c>
      <c r="K4" s="277">
        <v>1.222</v>
      </c>
      <c r="M4" s="304" t="s">
        <v>334</v>
      </c>
      <c r="N4" s="271" t="s">
        <v>335</v>
      </c>
      <c r="P4" s="304" t="s">
        <v>336</v>
      </c>
      <c r="Q4" s="271" t="s">
        <v>337</v>
      </c>
      <c r="S4" s="190"/>
      <c r="T4" s="190"/>
      <c r="U4" s="190"/>
    </row>
    <row r="5" spans="1:21" x14ac:dyDescent="0.25">
      <c r="B5" s="272">
        <v>210</v>
      </c>
      <c r="C5" s="273">
        <v>0.1</v>
      </c>
      <c r="D5" s="273">
        <v>0.75599999999999989</v>
      </c>
      <c r="E5" s="273">
        <v>0.92399999999999982</v>
      </c>
      <c r="F5" s="273">
        <v>0.90900000000000003</v>
      </c>
      <c r="G5" s="273">
        <v>0.49375000000000002</v>
      </c>
      <c r="H5" s="273">
        <v>0.18899999999999997</v>
      </c>
      <c r="I5" s="273">
        <v>0.64499999999999991</v>
      </c>
      <c r="J5" s="273">
        <v>1.2765</v>
      </c>
      <c r="K5" s="274">
        <v>1.1044999999999998</v>
      </c>
      <c r="M5" s="278" t="s">
        <v>338</v>
      </c>
      <c r="N5" s="279">
        <v>0.5</v>
      </c>
      <c r="P5" s="278" t="s">
        <v>339</v>
      </c>
      <c r="Q5" s="280">
        <v>6.5661352889837057E-2</v>
      </c>
      <c r="S5" s="190"/>
      <c r="T5" s="190"/>
      <c r="U5" s="190"/>
    </row>
    <row r="6" spans="1:21" x14ac:dyDescent="0.25">
      <c r="B6" s="275">
        <v>420</v>
      </c>
      <c r="C6" s="276">
        <v>0.2</v>
      </c>
      <c r="D6" s="276">
        <v>0.61199999999999988</v>
      </c>
      <c r="E6" s="276">
        <v>0.79799999999999982</v>
      </c>
      <c r="F6" s="276">
        <v>0.80099999999999993</v>
      </c>
      <c r="G6" s="276">
        <v>0.43749999999999994</v>
      </c>
      <c r="H6" s="276">
        <v>0.16799999999999998</v>
      </c>
      <c r="I6" s="276">
        <v>0.56999999999999995</v>
      </c>
      <c r="J6" s="276">
        <v>1.1384999999999998</v>
      </c>
      <c r="K6" s="277">
        <v>0.97524999999999984</v>
      </c>
      <c r="M6" s="281" t="s">
        <v>340</v>
      </c>
      <c r="N6" s="282">
        <v>1.4</v>
      </c>
      <c r="P6" s="281" t="s">
        <v>341</v>
      </c>
      <c r="Q6" s="283">
        <v>6.9470876699360862E-2</v>
      </c>
      <c r="S6" s="190"/>
      <c r="T6" s="190"/>
      <c r="U6" s="190"/>
    </row>
    <row r="7" spans="1:21" x14ac:dyDescent="0.25">
      <c r="B7" s="272">
        <v>840</v>
      </c>
      <c r="C7" s="273">
        <v>0.4</v>
      </c>
      <c r="D7" s="273">
        <v>0.46799999999999997</v>
      </c>
      <c r="E7" s="273">
        <v>0.60899999999999987</v>
      </c>
      <c r="F7" s="273">
        <v>0.63900000000000001</v>
      </c>
      <c r="G7" s="273">
        <v>0.35625000000000001</v>
      </c>
      <c r="H7" s="273">
        <v>0.13300000000000001</v>
      </c>
      <c r="I7" s="273">
        <v>0.46499999999999997</v>
      </c>
      <c r="J7" s="273">
        <v>0.93149999999999988</v>
      </c>
      <c r="K7" s="274">
        <v>0.72849999999999993</v>
      </c>
      <c r="L7" s="266" t="s">
        <v>342</v>
      </c>
      <c r="M7" s="278" t="s">
        <v>343</v>
      </c>
      <c r="N7" s="284">
        <v>1.1776129100485737</v>
      </c>
      <c r="P7" s="278" t="s">
        <v>344</v>
      </c>
      <c r="Q7" s="280">
        <v>7.1375638604122771E-2</v>
      </c>
      <c r="S7" s="190"/>
      <c r="T7" s="190"/>
      <c r="U7" s="190"/>
    </row>
    <row r="8" spans="1:21" x14ac:dyDescent="0.25">
      <c r="B8" s="275">
        <v>1260</v>
      </c>
      <c r="C8" s="276">
        <v>0.6</v>
      </c>
      <c r="D8" s="276">
        <v>0.41999999999999993</v>
      </c>
      <c r="E8" s="276">
        <v>0.48299999999999987</v>
      </c>
      <c r="F8" s="276">
        <v>0.52200000000000002</v>
      </c>
      <c r="G8" s="276">
        <v>0.29374999999999996</v>
      </c>
      <c r="H8" s="276">
        <v>0.11549999999999999</v>
      </c>
      <c r="I8" s="276">
        <v>0.38249999999999995</v>
      </c>
      <c r="J8" s="276">
        <v>0.74749999999999994</v>
      </c>
      <c r="K8" s="277">
        <v>0.56399999999999995</v>
      </c>
      <c r="L8" s="266" t="s">
        <v>345</v>
      </c>
      <c r="M8" s="281" t="s">
        <v>346</v>
      </c>
      <c r="N8" s="285">
        <v>1</v>
      </c>
      <c r="P8" s="286" t="s">
        <v>347</v>
      </c>
      <c r="Q8" s="287">
        <v>7.2328019556503725E-2</v>
      </c>
      <c r="S8" s="190"/>
      <c r="T8" s="190"/>
      <c r="U8" s="190"/>
    </row>
    <row r="9" spans="1:21" x14ac:dyDescent="0.25">
      <c r="B9" s="272">
        <v>1680</v>
      </c>
      <c r="C9" s="273">
        <v>0.8</v>
      </c>
      <c r="D9" s="273">
        <v>0.35999999999999993</v>
      </c>
      <c r="E9" s="273">
        <v>0.3884999999999999</v>
      </c>
      <c r="F9" s="273">
        <v>0.45</v>
      </c>
      <c r="G9" s="273">
        <v>0.25</v>
      </c>
      <c r="H9" s="273">
        <v>9.8000000000000004E-2</v>
      </c>
      <c r="I9" s="273">
        <v>0.32249999999999995</v>
      </c>
      <c r="J9" s="273">
        <v>0.59799999999999998</v>
      </c>
      <c r="K9" s="274">
        <v>0.47</v>
      </c>
      <c r="L9" s="266" t="s">
        <v>348</v>
      </c>
      <c r="M9" s="278" t="s">
        <v>349</v>
      </c>
      <c r="N9" s="284">
        <v>0.88627958449847144</v>
      </c>
      <c r="S9" s="190"/>
      <c r="T9" s="190"/>
      <c r="U9" s="190"/>
    </row>
    <row r="10" spans="1:21" x14ac:dyDescent="0.25">
      <c r="B10" s="275">
        <v>2100</v>
      </c>
      <c r="C10" s="276">
        <v>1</v>
      </c>
      <c r="D10" s="276">
        <v>0.31199999999999994</v>
      </c>
      <c r="E10" s="276">
        <v>0.3254999999999999</v>
      </c>
      <c r="F10" s="276">
        <v>0.378</v>
      </c>
      <c r="G10" s="276">
        <v>0.21249999999999999</v>
      </c>
      <c r="H10" s="276">
        <v>8.7499999999999994E-2</v>
      </c>
      <c r="I10" s="276">
        <v>0.27749999999999991</v>
      </c>
      <c r="J10" s="276">
        <v>0.52900000000000003</v>
      </c>
      <c r="K10" s="277">
        <v>0.36424999999999996</v>
      </c>
      <c r="M10" s="286" t="s">
        <v>350</v>
      </c>
      <c r="N10" s="288">
        <v>0.6</v>
      </c>
      <c r="S10" s="190"/>
      <c r="T10" s="190"/>
      <c r="U10" s="190"/>
    </row>
    <row r="11" spans="1:21" x14ac:dyDescent="0.25">
      <c r="B11" s="272">
        <v>2520</v>
      </c>
      <c r="C11" s="273">
        <v>1.2</v>
      </c>
      <c r="D11" s="273">
        <v>0.28799999999999992</v>
      </c>
      <c r="E11" s="273">
        <v>0.27299999999999996</v>
      </c>
      <c r="F11" s="273">
        <v>0.32399999999999995</v>
      </c>
      <c r="G11" s="273">
        <v>0.1875</v>
      </c>
      <c r="H11" s="273">
        <v>7.6999999999999985E-2</v>
      </c>
      <c r="I11" s="273">
        <v>0.24749999999999997</v>
      </c>
      <c r="J11" s="273">
        <v>0.45999999999999996</v>
      </c>
      <c r="K11" s="274">
        <v>0.31724999999999998</v>
      </c>
      <c r="M11" s="267" t="s">
        <v>351</v>
      </c>
      <c r="S11" s="190"/>
      <c r="T11" s="190"/>
      <c r="U11" s="190"/>
    </row>
    <row r="12" spans="1:21" x14ac:dyDescent="0.25">
      <c r="B12" s="275">
        <v>2940</v>
      </c>
      <c r="C12" s="276">
        <v>1.4</v>
      </c>
      <c r="D12" s="276">
        <v>0.25199999999999995</v>
      </c>
      <c r="E12" s="276">
        <v>0.24149999999999994</v>
      </c>
      <c r="F12" s="276">
        <v>0.28800000000000003</v>
      </c>
      <c r="G12" s="276">
        <v>0.16875000000000004</v>
      </c>
      <c r="H12" s="276">
        <v>6.9999999999999993E-2</v>
      </c>
      <c r="I12" s="276">
        <v>0.21749999999999994</v>
      </c>
      <c r="J12" s="276">
        <v>0.39100000000000001</v>
      </c>
      <c r="K12" s="277">
        <v>0.28199999999999997</v>
      </c>
      <c r="S12" s="190"/>
      <c r="T12" s="190"/>
      <c r="U12" s="190"/>
    </row>
    <row r="13" spans="1:21" x14ac:dyDescent="0.25">
      <c r="B13" s="272">
        <v>3360</v>
      </c>
      <c r="C13" s="273">
        <v>1.6</v>
      </c>
      <c r="D13" s="273">
        <v>0.24</v>
      </c>
      <c r="E13" s="273">
        <v>0.23099999999999996</v>
      </c>
      <c r="F13" s="273">
        <v>0.26100000000000001</v>
      </c>
      <c r="G13" s="273">
        <v>0.14374999999999999</v>
      </c>
      <c r="H13" s="273">
        <v>6.2999999999999987E-2</v>
      </c>
      <c r="I13" s="273">
        <v>0.20249999999999999</v>
      </c>
      <c r="J13" s="273">
        <v>0.34499999999999997</v>
      </c>
      <c r="K13" s="274">
        <v>0.24674999999999997</v>
      </c>
      <c r="M13" s="286" t="s">
        <v>350</v>
      </c>
      <c r="N13" s="288">
        <v>0.49137188477039795</v>
      </c>
      <c r="S13" s="190"/>
      <c r="T13" s="190"/>
      <c r="U13" s="190"/>
    </row>
    <row r="14" spans="1:21" ht="13" thickBot="1" x14ac:dyDescent="0.3">
      <c r="B14" s="275">
        <v>3780</v>
      </c>
      <c r="C14" s="276">
        <v>1.8</v>
      </c>
      <c r="D14" s="276">
        <v>0.21599999999999997</v>
      </c>
      <c r="E14" s="276">
        <v>0.21</v>
      </c>
      <c r="F14" s="276">
        <v>0.22500000000000001</v>
      </c>
      <c r="G14" s="276">
        <v>0.13125000000000001</v>
      </c>
      <c r="H14" s="276">
        <v>5.9499999999999997E-2</v>
      </c>
      <c r="I14" s="276">
        <v>0.17249999999999999</v>
      </c>
      <c r="J14" s="276">
        <v>0.3105</v>
      </c>
      <c r="K14" s="277">
        <v>0.23499999999999999</v>
      </c>
      <c r="M14" s="267" t="s">
        <v>352</v>
      </c>
    </row>
    <row r="15" spans="1:21" x14ac:dyDescent="0.25">
      <c r="B15" s="289">
        <v>4200</v>
      </c>
      <c r="C15" s="290">
        <v>2</v>
      </c>
      <c r="D15" s="290">
        <v>0.20399999999999999</v>
      </c>
      <c r="E15" s="290">
        <v>0.17849999999999999</v>
      </c>
      <c r="F15" s="290">
        <v>0.216</v>
      </c>
      <c r="G15" s="290">
        <v>0.13125000000000001</v>
      </c>
      <c r="H15" s="290">
        <v>5.5999999999999994E-2</v>
      </c>
      <c r="I15" s="290">
        <v>0.15749999999999997</v>
      </c>
      <c r="J15" s="290">
        <v>0.28749999999999998</v>
      </c>
      <c r="K15" s="291">
        <v>0.22325</v>
      </c>
      <c r="L15" s="292" t="s">
        <v>342</v>
      </c>
      <c r="M15" s="293" t="s">
        <v>343</v>
      </c>
      <c r="N15" s="294">
        <v>1.1776129100485737</v>
      </c>
    </row>
    <row r="16" spans="1:21" x14ac:dyDescent="0.25">
      <c r="L16" s="295" t="s">
        <v>348</v>
      </c>
      <c r="M16" s="296" t="s">
        <v>349</v>
      </c>
      <c r="N16" s="297">
        <v>0.88627958449847144</v>
      </c>
    </row>
    <row r="17" spans="1:27" ht="13" thickBot="1" x14ac:dyDescent="0.3">
      <c r="L17" s="298" t="s">
        <v>345</v>
      </c>
      <c r="M17" s="299" t="s">
        <v>346</v>
      </c>
      <c r="N17" s="300">
        <v>1</v>
      </c>
    </row>
    <row r="18" spans="1:27" x14ac:dyDescent="0.25">
      <c r="A18" s="315" t="s">
        <v>359</v>
      </c>
      <c r="B18" s="265" t="s">
        <v>360</v>
      </c>
      <c r="M18" s="827" t="s">
        <v>358</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1.6079999999999999</v>
      </c>
      <c r="E21" s="273">
        <v>1.554</v>
      </c>
      <c r="F21" s="273">
        <v>1.0010000000000001</v>
      </c>
      <c r="G21" s="273">
        <v>0.42900000000000005</v>
      </c>
      <c r="H21" s="273">
        <v>0.33300000000000002</v>
      </c>
      <c r="I21" s="273">
        <v>0.42900000000000005</v>
      </c>
      <c r="J21" s="273">
        <v>1.105</v>
      </c>
      <c r="K21" s="274">
        <v>1.6589999999999998</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1.56</v>
      </c>
      <c r="E22" s="276">
        <v>1.4910000000000001</v>
      </c>
      <c r="F22" s="276">
        <v>0.91</v>
      </c>
      <c r="G22" s="276">
        <v>0.36300000000000004</v>
      </c>
      <c r="H22" s="276">
        <v>0.27900000000000003</v>
      </c>
      <c r="I22" s="276">
        <v>0.36300000000000004</v>
      </c>
      <c r="J22" s="276">
        <v>1.014</v>
      </c>
      <c r="K22" s="277">
        <v>1.5854999999999997</v>
      </c>
      <c r="M22" s="278" t="s">
        <v>338</v>
      </c>
      <c r="N22" s="279">
        <v>0.4</v>
      </c>
      <c r="P22" s="301">
        <v>1</v>
      </c>
      <c r="Q22" s="301">
        <v>0.9</v>
      </c>
      <c r="R22" s="301">
        <v>0.8</v>
      </c>
      <c r="S22" s="301">
        <v>0.85000000000000009</v>
      </c>
      <c r="T22" s="301">
        <v>0.9</v>
      </c>
      <c r="U22" s="301">
        <v>0.9</v>
      </c>
      <c r="V22" s="301">
        <v>0.9</v>
      </c>
      <c r="W22" s="301">
        <v>0.95</v>
      </c>
      <c r="Y22" s="190"/>
      <c r="Z22" s="190"/>
      <c r="AA22" s="190"/>
    </row>
    <row r="23" spans="1:27" x14ac:dyDescent="0.25">
      <c r="B23" s="272">
        <v>210</v>
      </c>
      <c r="C23" s="273">
        <v>0.1</v>
      </c>
      <c r="D23" s="273">
        <v>1.56</v>
      </c>
      <c r="E23" s="273">
        <v>1.4280000000000002</v>
      </c>
      <c r="F23" s="273">
        <v>0.85800000000000021</v>
      </c>
      <c r="G23" s="273">
        <v>0.34100000000000003</v>
      </c>
      <c r="H23" s="273">
        <v>0.27</v>
      </c>
      <c r="I23" s="273">
        <v>0.35200000000000004</v>
      </c>
      <c r="J23" s="273">
        <v>0.97499999999999998</v>
      </c>
      <c r="K23" s="274">
        <v>1.5434999999999997</v>
      </c>
      <c r="M23" s="281" t="s">
        <v>340</v>
      </c>
      <c r="N23" s="282">
        <v>1.4</v>
      </c>
      <c r="O23" s="267" t="s">
        <v>364</v>
      </c>
      <c r="P23" s="302">
        <v>0.7</v>
      </c>
      <c r="Q23" s="302">
        <v>0.63</v>
      </c>
      <c r="R23" s="302">
        <v>0.55999999999999994</v>
      </c>
      <c r="S23" s="302">
        <v>0.59499999999999997</v>
      </c>
      <c r="T23" s="302">
        <v>0.63</v>
      </c>
      <c r="U23" s="302">
        <v>0.63</v>
      </c>
      <c r="V23" s="302">
        <v>0.63</v>
      </c>
      <c r="W23" s="302">
        <v>0.66499999999999992</v>
      </c>
      <c r="Y23" s="190"/>
      <c r="Z23" s="190"/>
      <c r="AA23" s="190"/>
    </row>
    <row r="24" spans="1:27" x14ac:dyDescent="0.25">
      <c r="B24" s="275">
        <v>420</v>
      </c>
      <c r="C24" s="276">
        <v>0.2</v>
      </c>
      <c r="D24" s="276">
        <v>1.304</v>
      </c>
      <c r="E24" s="276">
        <v>1.2705</v>
      </c>
      <c r="F24" s="276">
        <v>0.76700000000000002</v>
      </c>
      <c r="G24" s="276">
        <v>0.30800000000000005</v>
      </c>
      <c r="H24" s="276">
        <v>0.24300000000000005</v>
      </c>
      <c r="I24" s="276">
        <v>0.30800000000000005</v>
      </c>
      <c r="J24" s="276">
        <v>0.87100000000000011</v>
      </c>
      <c r="K24" s="277">
        <v>1.3859999999999999</v>
      </c>
      <c r="M24" s="278" t="s">
        <v>365</v>
      </c>
      <c r="N24" s="279">
        <v>0.7</v>
      </c>
      <c r="Y24" s="190"/>
      <c r="Z24" s="190"/>
      <c r="AA24" s="190"/>
    </row>
    <row r="25" spans="1:27" x14ac:dyDescent="0.25">
      <c r="B25" s="272">
        <v>840</v>
      </c>
      <c r="C25" s="273">
        <v>0.4</v>
      </c>
      <c r="D25" s="273">
        <v>1.1919999999999999</v>
      </c>
      <c r="E25" s="273">
        <v>1.05</v>
      </c>
      <c r="F25" s="273">
        <v>0.63700000000000001</v>
      </c>
      <c r="G25" s="273">
        <v>0.26400000000000001</v>
      </c>
      <c r="H25" s="273">
        <v>0.20700000000000002</v>
      </c>
      <c r="I25" s="273">
        <v>0.26400000000000001</v>
      </c>
      <c r="J25" s="273">
        <v>0.71500000000000008</v>
      </c>
      <c r="K25" s="274">
        <v>1.155</v>
      </c>
      <c r="M25" s="281" t="s">
        <v>366</v>
      </c>
      <c r="N25" s="282">
        <v>1</v>
      </c>
      <c r="P25" s="265" t="s">
        <v>367</v>
      </c>
      <c r="Y25" s="190"/>
      <c r="Z25" s="190"/>
      <c r="AA25" s="190"/>
    </row>
    <row r="26" spans="1:27" x14ac:dyDescent="0.25">
      <c r="B26" s="275">
        <v>1260</v>
      </c>
      <c r="C26" s="276">
        <v>0.6</v>
      </c>
      <c r="D26" s="276">
        <v>0.96799999999999997</v>
      </c>
      <c r="E26" s="276">
        <v>0.87149999999999994</v>
      </c>
      <c r="F26" s="276">
        <v>0.52000000000000013</v>
      </c>
      <c r="G26" s="276">
        <v>0.23100000000000001</v>
      </c>
      <c r="H26" s="276">
        <v>0.189</v>
      </c>
      <c r="I26" s="276">
        <v>0.23100000000000001</v>
      </c>
      <c r="J26" s="276">
        <v>0.61099999999999999</v>
      </c>
      <c r="K26" s="277">
        <v>0.94499999999999995</v>
      </c>
      <c r="L26" s="266" t="s">
        <v>342</v>
      </c>
      <c r="M26" s="278" t="s">
        <v>343</v>
      </c>
      <c r="N26" s="284">
        <v>1.0432549227550578</v>
      </c>
      <c r="Y26" s="190"/>
      <c r="Z26" s="190"/>
      <c r="AA26" s="190"/>
    </row>
    <row r="27" spans="1:27" ht="13" x14ac:dyDescent="0.25">
      <c r="B27" s="272">
        <v>1680</v>
      </c>
      <c r="C27" s="273">
        <v>0.8</v>
      </c>
      <c r="D27" s="273">
        <v>0.78400000000000003</v>
      </c>
      <c r="E27" s="273">
        <v>0.71400000000000008</v>
      </c>
      <c r="F27" s="273">
        <v>0.45500000000000002</v>
      </c>
      <c r="G27" s="273">
        <v>0.20900000000000002</v>
      </c>
      <c r="H27" s="273">
        <v>0.17100000000000001</v>
      </c>
      <c r="I27" s="273">
        <v>0.20900000000000002</v>
      </c>
      <c r="J27" s="273">
        <v>0.54600000000000004</v>
      </c>
      <c r="K27" s="274">
        <v>0.76649999999999985</v>
      </c>
      <c r="L27" s="266" t="s">
        <v>345</v>
      </c>
      <c r="M27" s="281" t="s">
        <v>346</v>
      </c>
      <c r="N27" s="285">
        <v>1</v>
      </c>
      <c r="P27" s="317" t="s">
        <v>380</v>
      </c>
      <c r="Y27" s="190"/>
      <c r="Z27" s="190"/>
      <c r="AA27" s="190"/>
    </row>
    <row r="28" spans="1:27" x14ac:dyDescent="0.25">
      <c r="B28" s="275">
        <v>2100</v>
      </c>
      <c r="C28" s="276">
        <v>1</v>
      </c>
      <c r="D28" s="276">
        <v>0.64000000000000012</v>
      </c>
      <c r="E28" s="276">
        <v>0.54600000000000004</v>
      </c>
      <c r="F28" s="276">
        <v>0.36400000000000005</v>
      </c>
      <c r="G28" s="276">
        <v>0.18700000000000003</v>
      </c>
      <c r="H28" s="276">
        <v>0.16200000000000001</v>
      </c>
      <c r="I28" s="276">
        <v>0.18700000000000003</v>
      </c>
      <c r="J28" s="276">
        <v>0.46799999999999997</v>
      </c>
      <c r="K28" s="277">
        <v>0.66149999999999987</v>
      </c>
      <c r="L28" s="266" t="s">
        <v>348</v>
      </c>
      <c r="M28" s="278" t="s">
        <v>349</v>
      </c>
      <c r="N28" s="284">
        <v>0.97268939299298474</v>
      </c>
      <c r="P28" s="303">
        <v>8.7946581423304071</v>
      </c>
      <c r="Y28" s="190"/>
      <c r="Z28" s="190"/>
      <c r="AA28" s="190"/>
    </row>
    <row r="29" spans="1:27" x14ac:dyDescent="0.25">
      <c r="B29" s="272">
        <v>2520</v>
      </c>
      <c r="C29" s="273">
        <v>1.2</v>
      </c>
      <c r="D29" s="273">
        <v>0.43200000000000005</v>
      </c>
      <c r="E29" s="273">
        <v>0.48299999999999998</v>
      </c>
      <c r="F29" s="273">
        <v>0.32500000000000001</v>
      </c>
      <c r="G29" s="273">
        <v>0.17600000000000002</v>
      </c>
      <c r="H29" s="273">
        <v>0.15300000000000002</v>
      </c>
      <c r="I29" s="273">
        <v>0.17600000000000002</v>
      </c>
      <c r="J29" s="273">
        <v>0.377</v>
      </c>
      <c r="K29" s="274">
        <v>0.52499999999999991</v>
      </c>
      <c r="M29" s="286" t="s">
        <v>369</v>
      </c>
      <c r="N29" s="288">
        <v>1.1000000000000001</v>
      </c>
      <c r="Y29" s="190"/>
      <c r="Z29" s="190"/>
      <c r="AA29" s="190"/>
    </row>
    <row r="30" spans="1:27" x14ac:dyDescent="0.25">
      <c r="B30" s="275">
        <v>2940</v>
      </c>
      <c r="C30" s="276">
        <v>1.4</v>
      </c>
      <c r="D30" s="276">
        <v>0.32000000000000006</v>
      </c>
      <c r="E30" s="276">
        <v>0.35700000000000004</v>
      </c>
      <c r="F30" s="276">
        <v>0.27300000000000002</v>
      </c>
      <c r="G30" s="276">
        <v>0.16500000000000001</v>
      </c>
      <c r="H30" s="276">
        <v>0.14400000000000002</v>
      </c>
      <c r="I30" s="276">
        <v>0.16500000000000001</v>
      </c>
      <c r="J30" s="276">
        <v>0.36400000000000005</v>
      </c>
      <c r="K30" s="277">
        <v>0.45149999999999996</v>
      </c>
      <c r="M30" s="267" t="s">
        <v>351</v>
      </c>
      <c r="Y30" s="190"/>
      <c r="Z30" s="190"/>
      <c r="AA30" s="190"/>
    </row>
    <row r="31" spans="1:27" x14ac:dyDescent="0.25">
      <c r="B31" s="272">
        <v>3360</v>
      </c>
      <c r="C31" s="273">
        <v>1.6</v>
      </c>
      <c r="D31" s="273">
        <v>0.22400000000000003</v>
      </c>
      <c r="E31" s="273">
        <v>0.315</v>
      </c>
      <c r="F31" s="273">
        <v>0.24700000000000003</v>
      </c>
      <c r="G31" s="273">
        <v>0.15400000000000003</v>
      </c>
      <c r="H31" s="273">
        <v>0.126</v>
      </c>
      <c r="I31" s="273">
        <v>0.14300000000000002</v>
      </c>
      <c r="J31" s="273">
        <v>0.29900000000000004</v>
      </c>
      <c r="K31" s="274">
        <v>0.37799999999999995</v>
      </c>
    </row>
    <row r="32" spans="1:27" x14ac:dyDescent="0.25">
      <c r="B32" s="275">
        <v>3780</v>
      </c>
      <c r="C32" s="276">
        <v>1.8</v>
      </c>
      <c r="D32" s="276">
        <v>0.17600000000000002</v>
      </c>
      <c r="E32" s="276">
        <v>0.26250000000000001</v>
      </c>
      <c r="F32" s="276">
        <v>0.20800000000000002</v>
      </c>
      <c r="G32" s="276">
        <v>0.14300000000000002</v>
      </c>
      <c r="H32" s="276">
        <v>0.126</v>
      </c>
      <c r="I32" s="276">
        <v>0.14300000000000002</v>
      </c>
      <c r="J32" s="276">
        <v>0.26</v>
      </c>
      <c r="K32" s="277">
        <v>0.33599999999999997</v>
      </c>
      <c r="M32" s="286" t="s">
        <v>369</v>
      </c>
      <c r="N32" s="288">
        <v>0.97388444911202243</v>
      </c>
    </row>
    <row r="33" spans="1:21" ht="13" thickBot="1" x14ac:dyDescent="0.3">
      <c r="B33" s="289">
        <v>4200</v>
      </c>
      <c r="C33" s="290">
        <v>2</v>
      </c>
      <c r="D33" s="290">
        <v>0.14399999999999999</v>
      </c>
      <c r="E33" s="290">
        <v>0.19949999999999998</v>
      </c>
      <c r="F33" s="290">
        <v>0.19500000000000001</v>
      </c>
      <c r="G33" s="290">
        <v>0.13200000000000001</v>
      </c>
      <c r="H33" s="290">
        <v>0.126</v>
      </c>
      <c r="I33" s="290">
        <v>0.13200000000000001</v>
      </c>
      <c r="J33" s="290">
        <v>0.247</v>
      </c>
      <c r="K33" s="291">
        <v>0.25199999999999995</v>
      </c>
      <c r="M33" s="267" t="s">
        <v>370</v>
      </c>
    </row>
    <row r="34" spans="1:21" x14ac:dyDescent="0.25">
      <c r="B34" s="322"/>
      <c r="C34" s="323"/>
      <c r="D34" s="323"/>
      <c r="E34" s="323"/>
      <c r="F34" s="323"/>
      <c r="G34" s="323"/>
      <c r="H34" s="323"/>
      <c r="I34" s="323"/>
      <c r="J34" s="323"/>
      <c r="K34" s="323"/>
      <c r="L34" s="292" t="s">
        <v>342</v>
      </c>
      <c r="M34" s="293" t="s">
        <v>343</v>
      </c>
      <c r="N34" s="294">
        <v>1.0432549227550578</v>
      </c>
    </row>
    <row r="35" spans="1:21" x14ac:dyDescent="0.25">
      <c r="B35" s="322"/>
      <c r="C35" s="323"/>
      <c r="D35" s="323"/>
      <c r="E35" s="323"/>
      <c r="F35" s="323"/>
      <c r="G35" s="323"/>
      <c r="H35" s="323"/>
      <c r="I35" s="323"/>
      <c r="J35" s="323"/>
      <c r="K35" s="323"/>
      <c r="L35" s="295" t="s">
        <v>348</v>
      </c>
      <c r="M35" s="296" t="s">
        <v>349</v>
      </c>
      <c r="N35" s="297">
        <v>0.97268939299298474</v>
      </c>
    </row>
    <row r="36" spans="1:21" ht="13" thickBot="1" x14ac:dyDescent="0.3">
      <c r="B36" s="322"/>
      <c r="C36" s="323"/>
      <c r="D36" s="323"/>
      <c r="E36" s="323"/>
      <c r="F36" s="323"/>
      <c r="G36" s="323"/>
      <c r="H36" s="323"/>
      <c r="I36" s="323"/>
      <c r="J36" s="323"/>
      <c r="K36" s="323"/>
      <c r="L36" s="298" t="s">
        <v>345</v>
      </c>
      <c r="M36" s="299" t="s">
        <v>346</v>
      </c>
      <c r="N36" s="300">
        <v>1</v>
      </c>
    </row>
    <row r="38" spans="1:21" x14ac:dyDescent="0.25">
      <c r="A38" s="318" t="s">
        <v>353</v>
      </c>
      <c r="B38" s="265" t="s">
        <v>354</v>
      </c>
      <c r="M38" s="827" t="s">
        <v>355</v>
      </c>
      <c r="N38" s="827"/>
      <c r="P38" s="265" t="s">
        <v>356</v>
      </c>
      <c r="S38" s="190"/>
      <c r="T38" s="190"/>
      <c r="U38" s="190"/>
    </row>
    <row r="39" spans="1:21" x14ac:dyDescent="0.25">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0.82</v>
      </c>
      <c r="E41" s="273">
        <v>1.0355000000000001</v>
      </c>
      <c r="F41" s="273">
        <v>1.071</v>
      </c>
      <c r="G41" s="273">
        <v>0.72</v>
      </c>
      <c r="H41" s="273">
        <v>0.40800000000000003</v>
      </c>
      <c r="I41" s="273">
        <v>0.78</v>
      </c>
      <c r="J41" s="273">
        <v>1.1700000000000002</v>
      </c>
      <c r="K41" s="274">
        <v>1.1019999999999999</v>
      </c>
      <c r="M41" s="304" t="s">
        <v>334</v>
      </c>
      <c r="N41" s="271" t="s">
        <v>335</v>
      </c>
      <c r="P41" s="304" t="s">
        <v>336</v>
      </c>
      <c r="Q41" s="271" t="s">
        <v>337</v>
      </c>
      <c r="S41" s="190"/>
      <c r="T41" s="190"/>
      <c r="U41" s="190"/>
    </row>
    <row r="42" spans="1:21" x14ac:dyDescent="0.25">
      <c r="B42" s="275">
        <v>105</v>
      </c>
      <c r="C42" s="308">
        <v>0.05</v>
      </c>
      <c r="D42" s="276">
        <v>0.69</v>
      </c>
      <c r="E42" s="276">
        <v>0.91200000000000003</v>
      </c>
      <c r="F42" s="276">
        <v>0.96300000000000008</v>
      </c>
      <c r="G42" s="276">
        <v>0.63749999999999996</v>
      </c>
      <c r="H42" s="276">
        <v>0.34199999999999997</v>
      </c>
      <c r="I42" s="276">
        <v>0.69</v>
      </c>
      <c r="J42" s="276">
        <v>1.0710000000000002</v>
      </c>
      <c r="K42" s="277">
        <v>0.98799999999999999</v>
      </c>
      <c r="M42" s="278" t="s">
        <v>338</v>
      </c>
      <c r="N42" s="284">
        <v>0.35</v>
      </c>
      <c r="P42" s="278" t="s">
        <v>339</v>
      </c>
      <c r="Q42" s="280">
        <v>6.2971418540652399E-2</v>
      </c>
      <c r="S42" s="190"/>
      <c r="T42" s="190"/>
      <c r="U42" s="190"/>
    </row>
    <row r="43" spans="1:21" x14ac:dyDescent="0.25">
      <c r="B43" s="272">
        <v>210</v>
      </c>
      <c r="C43" s="307">
        <v>0.1</v>
      </c>
      <c r="D43" s="273">
        <v>0.63</v>
      </c>
      <c r="E43" s="273">
        <v>0.83599999999999997</v>
      </c>
      <c r="F43" s="273">
        <v>0.90900000000000003</v>
      </c>
      <c r="G43" s="273">
        <v>0.59250000000000003</v>
      </c>
      <c r="H43" s="273">
        <v>0.32400000000000001</v>
      </c>
      <c r="I43" s="273">
        <v>0.64500000000000002</v>
      </c>
      <c r="J43" s="273">
        <v>0.99900000000000022</v>
      </c>
      <c r="K43" s="274">
        <v>0.89300000000000002</v>
      </c>
      <c r="M43" s="281" t="s">
        <v>340</v>
      </c>
      <c r="N43" s="285">
        <v>1.3</v>
      </c>
      <c r="P43" s="281" t="s">
        <v>341</v>
      </c>
      <c r="Q43" s="283">
        <v>6.8304751873985742E-2</v>
      </c>
      <c r="S43" s="190"/>
      <c r="T43" s="190"/>
      <c r="U43" s="190"/>
    </row>
    <row r="44" spans="1:21" x14ac:dyDescent="0.25">
      <c r="B44" s="275">
        <v>420</v>
      </c>
      <c r="C44" s="308">
        <v>0.2</v>
      </c>
      <c r="D44" s="276">
        <v>0.51</v>
      </c>
      <c r="E44" s="276">
        <v>0.72199999999999998</v>
      </c>
      <c r="F44" s="276">
        <v>0.80099999999999993</v>
      </c>
      <c r="G44" s="276">
        <v>0.52499999999999991</v>
      </c>
      <c r="H44" s="276">
        <v>0.28799999999999998</v>
      </c>
      <c r="I44" s="276">
        <v>0.56999999999999995</v>
      </c>
      <c r="J44" s="276">
        <v>0.89100000000000001</v>
      </c>
      <c r="K44" s="277">
        <v>0.78849999999999998</v>
      </c>
      <c r="L44" s="266" t="s">
        <v>342</v>
      </c>
      <c r="M44" s="278" t="s">
        <v>343</v>
      </c>
      <c r="N44" s="284">
        <v>1</v>
      </c>
      <c r="P44" s="278" t="s">
        <v>344</v>
      </c>
      <c r="Q44" s="280">
        <v>7.0971418540652406E-2</v>
      </c>
      <c r="S44" s="190"/>
      <c r="T44" s="190"/>
      <c r="U44" s="190"/>
    </row>
    <row r="45" spans="1:21" x14ac:dyDescent="0.25">
      <c r="B45" s="272">
        <v>840</v>
      </c>
      <c r="C45" s="307">
        <v>0.4</v>
      </c>
      <c r="D45" s="273">
        <v>0.39</v>
      </c>
      <c r="E45" s="273">
        <v>0.55099999999999993</v>
      </c>
      <c r="F45" s="273">
        <v>0.63900000000000001</v>
      </c>
      <c r="G45" s="273">
        <v>0.42749999999999999</v>
      </c>
      <c r="H45" s="273">
        <v>0.22800000000000001</v>
      </c>
      <c r="I45" s="273">
        <v>0.46500000000000002</v>
      </c>
      <c r="J45" s="273">
        <v>0.72900000000000009</v>
      </c>
      <c r="K45" s="274">
        <v>0.58899999999999997</v>
      </c>
      <c r="L45" s="266" t="s">
        <v>345</v>
      </c>
      <c r="M45" s="281" t="s">
        <v>346</v>
      </c>
      <c r="N45" s="285">
        <v>0.95</v>
      </c>
      <c r="P45" s="286" t="s">
        <v>347</v>
      </c>
      <c r="Q45" s="287">
        <v>7.2304751873985745E-2</v>
      </c>
      <c r="S45" s="190"/>
      <c r="T45" s="190"/>
      <c r="U45" s="190"/>
    </row>
    <row r="46" spans="1:21" x14ac:dyDescent="0.25">
      <c r="B46" s="275">
        <v>1260</v>
      </c>
      <c r="C46" s="308">
        <v>0.6</v>
      </c>
      <c r="D46" s="276">
        <v>0.35</v>
      </c>
      <c r="E46" s="276">
        <v>0.437</v>
      </c>
      <c r="F46" s="276">
        <v>0.52200000000000002</v>
      </c>
      <c r="G46" s="276">
        <v>0.35249999999999998</v>
      </c>
      <c r="H46" s="276">
        <v>0.19800000000000001</v>
      </c>
      <c r="I46" s="276">
        <v>0.38250000000000001</v>
      </c>
      <c r="J46" s="276">
        <v>0.58500000000000008</v>
      </c>
      <c r="K46" s="277">
        <v>0.45599999999999996</v>
      </c>
      <c r="L46" s="266" t="s">
        <v>348</v>
      </c>
      <c r="M46" s="309" t="s">
        <v>349</v>
      </c>
      <c r="N46" s="310">
        <v>0.9</v>
      </c>
      <c r="S46" s="190"/>
      <c r="T46" s="190"/>
      <c r="U46" s="190"/>
    </row>
    <row r="47" spans="1:21" x14ac:dyDescent="0.25">
      <c r="B47" s="272">
        <v>1680</v>
      </c>
      <c r="C47" s="307">
        <v>0.8</v>
      </c>
      <c r="D47" s="273">
        <v>0.3</v>
      </c>
      <c r="E47" s="273">
        <v>0.35149999999999998</v>
      </c>
      <c r="F47" s="273">
        <v>0.45</v>
      </c>
      <c r="G47" s="273">
        <v>0.3</v>
      </c>
      <c r="H47" s="273">
        <v>0.16800000000000004</v>
      </c>
      <c r="I47" s="273">
        <v>0.32250000000000001</v>
      </c>
      <c r="J47" s="273">
        <v>0.46800000000000008</v>
      </c>
      <c r="K47" s="274">
        <v>0.38</v>
      </c>
      <c r="S47" s="190"/>
      <c r="T47" s="190"/>
      <c r="U47" s="190"/>
    </row>
    <row r="48" spans="1:21" ht="13" thickBot="1" x14ac:dyDescent="0.3">
      <c r="B48" s="275">
        <v>2100</v>
      </c>
      <c r="C48" s="308">
        <v>1</v>
      </c>
      <c r="D48" s="276">
        <v>0.26</v>
      </c>
      <c r="E48" s="276">
        <v>0.29449999999999998</v>
      </c>
      <c r="F48" s="276">
        <v>0.378</v>
      </c>
      <c r="G48" s="276">
        <v>0.255</v>
      </c>
      <c r="H48" s="276">
        <v>0.15</v>
      </c>
      <c r="I48" s="276">
        <v>0.27749999999999997</v>
      </c>
      <c r="J48" s="276">
        <v>0.41400000000000009</v>
      </c>
      <c r="K48" s="277">
        <v>0.29449999999999998</v>
      </c>
      <c r="M48" s="267" t="s">
        <v>357</v>
      </c>
      <c r="S48" s="190"/>
      <c r="T48" s="190"/>
      <c r="U48" s="190"/>
    </row>
    <row r="49" spans="1:27" x14ac:dyDescent="0.25">
      <c r="B49" s="272">
        <v>2520</v>
      </c>
      <c r="C49" s="307">
        <v>1.2</v>
      </c>
      <c r="D49" s="273">
        <v>0.23999999999999996</v>
      </c>
      <c r="E49" s="273">
        <v>0.247</v>
      </c>
      <c r="F49" s="273">
        <v>0.32399999999999995</v>
      </c>
      <c r="G49" s="273">
        <v>0.22499999999999998</v>
      </c>
      <c r="H49" s="273">
        <v>0.13200000000000001</v>
      </c>
      <c r="I49" s="273">
        <v>0.2475</v>
      </c>
      <c r="J49" s="273">
        <v>0.36000000000000004</v>
      </c>
      <c r="K49" s="274">
        <v>0.25650000000000001</v>
      </c>
      <c r="L49" s="292" t="s">
        <v>342</v>
      </c>
      <c r="M49" s="293" t="s">
        <v>343</v>
      </c>
      <c r="N49" s="294">
        <v>1</v>
      </c>
      <c r="S49" s="190"/>
      <c r="T49" s="190"/>
      <c r="U49" s="190"/>
    </row>
    <row r="50" spans="1:27" x14ac:dyDescent="0.25">
      <c r="B50" s="275">
        <v>2940</v>
      </c>
      <c r="C50" s="308">
        <v>1.4</v>
      </c>
      <c r="D50" s="276">
        <v>0.21</v>
      </c>
      <c r="E50" s="276">
        <v>0.2185</v>
      </c>
      <c r="F50" s="276">
        <v>0.28800000000000003</v>
      </c>
      <c r="G50" s="276">
        <v>0.20250000000000004</v>
      </c>
      <c r="H50" s="276">
        <v>0.12000000000000001</v>
      </c>
      <c r="I50" s="276">
        <v>0.21749999999999997</v>
      </c>
      <c r="J50" s="276">
        <v>0.30600000000000005</v>
      </c>
      <c r="K50" s="277">
        <v>0.22799999999999998</v>
      </c>
      <c r="L50" s="295" t="s">
        <v>348</v>
      </c>
      <c r="M50" s="296" t="s">
        <v>349</v>
      </c>
      <c r="N50" s="297">
        <v>0.9</v>
      </c>
      <c r="S50" s="190"/>
      <c r="T50" s="190"/>
      <c r="U50" s="190"/>
    </row>
    <row r="51" spans="1:27" ht="13" thickBot="1" x14ac:dyDescent="0.3">
      <c r="B51" s="272">
        <v>3360</v>
      </c>
      <c r="C51" s="307">
        <v>1.6</v>
      </c>
      <c r="D51" s="273">
        <v>0.2</v>
      </c>
      <c r="E51" s="273">
        <v>0.20899999999999999</v>
      </c>
      <c r="F51" s="273">
        <v>0.26100000000000001</v>
      </c>
      <c r="G51" s="273">
        <v>0.17249999999999999</v>
      </c>
      <c r="H51" s="273">
        <v>0.10799999999999998</v>
      </c>
      <c r="I51" s="273">
        <v>0.20250000000000001</v>
      </c>
      <c r="J51" s="273">
        <v>0.27</v>
      </c>
      <c r="K51" s="274">
        <v>0.19949999999999998</v>
      </c>
      <c r="L51" s="298" t="s">
        <v>345</v>
      </c>
      <c r="M51" s="299" t="s">
        <v>346</v>
      </c>
      <c r="N51" s="300">
        <v>0.95</v>
      </c>
    </row>
    <row r="52" spans="1:27" x14ac:dyDescent="0.25">
      <c r="B52" s="275">
        <v>3780</v>
      </c>
      <c r="C52" s="308">
        <v>1.8</v>
      </c>
      <c r="D52" s="276">
        <v>0.18</v>
      </c>
      <c r="E52" s="276">
        <v>0.19000000000000003</v>
      </c>
      <c r="F52" s="276">
        <v>0.22500000000000001</v>
      </c>
      <c r="G52" s="276">
        <v>0.1575</v>
      </c>
      <c r="H52" s="276">
        <v>0.10200000000000001</v>
      </c>
      <c r="I52" s="276">
        <v>0.17249999999999999</v>
      </c>
      <c r="J52" s="276">
        <v>0.24300000000000005</v>
      </c>
      <c r="K52" s="277">
        <v>0.19</v>
      </c>
    </row>
    <row r="53" spans="1:27" x14ac:dyDescent="0.25">
      <c r="B53" s="289">
        <v>4200</v>
      </c>
      <c r="C53" s="311">
        <v>2</v>
      </c>
      <c r="D53" s="290">
        <v>0.17</v>
      </c>
      <c r="E53" s="290">
        <v>0.16150000000000003</v>
      </c>
      <c r="F53" s="290">
        <v>0.216</v>
      </c>
      <c r="G53" s="290">
        <v>0.1575</v>
      </c>
      <c r="H53" s="290">
        <v>9.6000000000000002E-2</v>
      </c>
      <c r="I53" s="290">
        <v>0.15749999999999997</v>
      </c>
      <c r="J53" s="290">
        <v>0.22500000000000001</v>
      </c>
      <c r="K53" s="291">
        <v>0.18049999999999999</v>
      </c>
    </row>
    <row r="55" spans="1:27" x14ac:dyDescent="0.25">
      <c r="A55" s="319"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1.7084999999999997</v>
      </c>
      <c r="E58" s="273">
        <v>1.2368333333333332</v>
      </c>
      <c r="F58" s="273">
        <v>1.0010000000000001</v>
      </c>
      <c r="G58" s="273">
        <v>0.6296666666666666</v>
      </c>
      <c r="H58" s="273">
        <v>0.44400000000000001</v>
      </c>
      <c r="I58" s="273">
        <v>0.94133333333333336</v>
      </c>
      <c r="J58" s="273">
        <v>1.19</v>
      </c>
      <c r="K58" s="274">
        <v>1.5356666666666665</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1.6575</v>
      </c>
      <c r="E59" s="276">
        <v>1.1866914414414413</v>
      </c>
      <c r="F59" s="276">
        <v>0.91</v>
      </c>
      <c r="G59" s="276">
        <v>0.53279487179487173</v>
      </c>
      <c r="H59" s="276">
        <v>0.372</v>
      </c>
      <c r="I59" s="276">
        <v>0.79651282051282057</v>
      </c>
      <c r="J59" s="276">
        <v>1.0920000000000001</v>
      </c>
      <c r="K59" s="277">
        <v>1.4676308016877635</v>
      </c>
      <c r="M59" s="278" t="s">
        <v>338</v>
      </c>
      <c r="N59" s="284">
        <v>0.3</v>
      </c>
      <c r="P59" s="312">
        <v>1</v>
      </c>
      <c r="Q59" s="313">
        <v>0.97499999999999998</v>
      </c>
      <c r="R59" s="313">
        <v>0.95</v>
      </c>
      <c r="S59" s="313">
        <v>0.92500000000000004</v>
      </c>
      <c r="T59" s="313">
        <v>0.9</v>
      </c>
      <c r="U59" s="313">
        <v>0.92500000000000004</v>
      </c>
      <c r="V59" s="313">
        <v>0.95</v>
      </c>
      <c r="W59" s="310">
        <v>0.97499999999999998</v>
      </c>
      <c r="Y59" s="190"/>
      <c r="Z59" s="190"/>
      <c r="AA59" s="190"/>
    </row>
    <row r="60" spans="1:27" x14ac:dyDescent="0.25">
      <c r="B60" s="272">
        <v>210</v>
      </c>
      <c r="C60" s="307">
        <v>0.1</v>
      </c>
      <c r="D60" s="273">
        <v>1.6575</v>
      </c>
      <c r="E60" s="273">
        <v>1.1365495495495495</v>
      </c>
      <c r="F60" s="273">
        <v>0.85800000000000021</v>
      </c>
      <c r="G60" s="273">
        <v>0.5005042735042734</v>
      </c>
      <c r="H60" s="273">
        <v>0.36</v>
      </c>
      <c r="I60" s="273">
        <v>0.77237606837606831</v>
      </c>
      <c r="J60" s="273">
        <v>1.0499999999999998</v>
      </c>
      <c r="K60" s="274">
        <v>1.4287531645569618</v>
      </c>
      <c r="M60" s="281" t="s">
        <v>340</v>
      </c>
      <c r="N60" s="285">
        <v>1.1000000000000001</v>
      </c>
      <c r="O60" s="267" t="s">
        <v>364</v>
      </c>
      <c r="P60" s="302">
        <v>1.2</v>
      </c>
      <c r="Q60" s="302">
        <v>1.17</v>
      </c>
      <c r="R60" s="302">
        <v>1.1399999999999999</v>
      </c>
      <c r="S60" s="302">
        <v>1.1100000000000001</v>
      </c>
      <c r="T60" s="302">
        <v>1.08</v>
      </c>
      <c r="U60" s="302">
        <v>1.1100000000000001</v>
      </c>
      <c r="V60" s="302">
        <v>1.1399999999999999</v>
      </c>
      <c r="W60" s="302">
        <v>1.17</v>
      </c>
      <c r="Y60" s="190"/>
      <c r="Z60" s="190"/>
      <c r="AA60" s="190"/>
    </row>
    <row r="61" spans="1:27" x14ac:dyDescent="0.25">
      <c r="B61" s="275">
        <v>420</v>
      </c>
      <c r="C61" s="308">
        <v>0.2</v>
      </c>
      <c r="D61" s="276">
        <v>1.3855</v>
      </c>
      <c r="E61" s="276">
        <v>1.0111948198198197</v>
      </c>
      <c r="F61" s="276">
        <v>0.76700000000000002</v>
      </c>
      <c r="G61" s="276">
        <v>0.45206837606837602</v>
      </c>
      <c r="H61" s="276">
        <v>0.32400000000000007</v>
      </c>
      <c r="I61" s="276">
        <v>0.67582905982905983</v>
      </c>
      <c r="J61" s="276">
        <v>0.93800000000000006</v>
      </c>
      <c r="K61" s="277">
        <v>1.2829620253164555</v>
      </c>
      <c r="M61" s="278" t="s">
        <v>365</v>
      </c>
      <c r="N61" s="284">
        <v>1.2</v>
      </c>
      <c r="Y61" s="190"/>
      <c r="Z61" s="190"/>
      <c r="AA61" s="190"/>
    </row>
    <row r="62" spans="1:27" x14ac:dyDescent="0.25">
      <c r="B62" s="272">
        <v>840</v>
      </c>
      <c r="C62" s="307">
        <v>0.4</v>
      </c>
      <c r="D62" s="273">
        <v>1.2665</v>
      </c>
      <c r="E62" s="273">
        <v>0.83569819819819813</v>
      </c>
      <c r="F62" s="273">
        <v>0.63700000000000001</v>
      </c>
      <c r="G62" s="273">
        <v>0.38748717948717942</v>
      </c>
      <c r="H62" s="273">
        <v>0.27599999999999997</v>
      </c>
      <c r="I62" s="273">
        <v>0.57928205128205124</v>
      </c>
      <c r="J62" s="273">
        <v>0.77</v>
      </c>
      <c r="K62" s="274">
        <v>1.0691350210970463</v>
      </c>
      <c r="M62" s="281" t="s">
        <v>366</v>
      </c>
      <c r="N62" s="285">
        <v>0.6</v>
      </c>
      <c r="P62" s="265" t="s">
        <v>373</v>
      </c>
      <c r="Y62" s="190"/>
      <c r="Z62" s="190"/>
      <c r="AA62" s="190"/>
    </row>
    <row r="63" spans="1:27" ht="13" thickBot="1" x14ac:dyDescent="0.3">
      <c r="B63" s="275">
        <v>1260</v>
      </c>
      <c r="C63" s="308">
        <v>0.6</v>
      </c>
      <c r="D63" s="276">
        <v>1.0285</v>
      </c>
      <c r="E63" s="276">
        <v>0.69362950450450434</v>
      </c>
      <c r="F63" s="276">
        <v>0.52000000000000013</v>
      </c>
      <c r="G63" s="276">
        <v>0.33905128205128199</v>
      </c>
      <c r="H63" s="276">
        <v>0.252</v>
      </c>
      <c r="I63" s="276">
        <v>0.5068717948717949</v>
      </c>
      <c r="J63" s="276">
        <v>0.65800000000000003</v>
      </c>
      <c r="K63" s="277">
        <v>0.874746835443038</v>
      </c>
      <c r="L63" s="266" t="s">
        <v>342</v>
      </c>
      <c r="M63" s="278" t="s">
        <v>343</v>
      </c>
      <c r="N63" s="284">
        <v>1</v>
      </c>
      <c r="Y63" s="190"/>
      <c r="Z63" s="190"/>
      <c r="AA63" s="190"/>
    </row>
    <row r="64" spans="1:27" ht="13.5" thickBot="1" x14ac:dyDescent="0.3">
      <c r="B64" s="272">
        <v>1680</v>
      </c>
      <c r="C64" s="307">
        <v>0.8</v>
      </c>
      <c r="D64" s="273">
        <v>0.83299999999999996</v>
      </c>
      <c r="E64" s="273">
        <v>0.56827477477477473</v>
      </c>
      <c r="F64" s="273">
        <v>0.45500000000000002</v>
      </c>
      <c r="G64" s="273">
        <v>0.30676068376068372</v>
      </c>
      <c r="H64" s="273">
        <v>0.22799999999999998</v>
      </c>
      <c r="I64" s="273">
        <v>0.4585982905982906</v>
      </c>
      <c r="J64" s="273">
        <v>0.58799999999999997</v>
      </c>
      <c r="K64" s="274">
        <v>0.70951687763713067</v>
      </c>
      <c r="L64" s="266" t="s">
        <v>345</v>
      </c>
      <c r="M64" s="281" t="s">
        <v>346</v>
      </c>
      <c r="N64" s="285">
        <v>1</v>
      </c>
      <c r="P64" s="320" t="s">
        <v>374</v>
      </c>
      <c r="Y64" s="190"/>
      <c r="Z64" s="190"/>
      <c r="AA64" s="190"/>
    </row>
    <row r="65" spans="2:27" ht="13.5" thickBot="1" x14ac:dyDescent="0.3">
      <c r="B65" s="275">
        <v>2100</v>
      </c>
      <c r="C65" s="308">
        <v>1</v>
      </c>
      <c r="D65" s="276">
        <v>0.68</v>
      </c>
      <c r="E65" s="276">
        <v>0.43456306306306303</v>
      </c>
      <c r="F65" s="276">
        <v>0.36400000000000005</v>
      </c>
      <c r="G65" s="276">
        <v>0.27447008547008545</v>
      </c>
      <c r="H65" s="276">
        <v>0.216</v>
      </c>
      <c r="I65" s="276">
        <v>0.41032478632478636</v>
      </c>
      <c r="J65" s="276">
        <v>0.504</v>
      </c>
      <c r="K65" s="277">
        <v>0.61232278481012647</v>
      </c>
      <c r="L65" s="266" t="s">
        <v>348</v>
      </c>
      <c r="M65" s="309" t="s">
        <v>349</v>
      </c>
      <c r="N65" s="310">
        <v>0.9</v>
      </c>
      <c r="P65" s="321">
        <v>10.124958786367181</v>
      </c>
      <c r="Y65" s="190"/>
      <c r="Z65" s="190"/>
      <c r="AA65" s="190"/>
    </row>
    <row r="66" spans="2:27" x14ac:dyDescent="0.25">
      <c r="B66" s="272">
        <v>2520</v>
      </c>
      <c r="C66" s="307">
        <v>1.2</v>
      </c>
      <c r="D66" s="273">
        <v>0.45900000000000002</v>
      </c>
      <c r="E66" s="273">
        <v>0.38442117117117114</v>
      </c>
      <c r="F66" s="273">
        <v>0.32500000000000001</v>
      </c>
      <c r="G66" s="273">
        <v>0.25832478632478628</v>
      </c>
      <c r="H66" s="273">
        <v>0.20400000000000001</v>
      </c>
      <c r="I66" s="273">
        <v>0.38618803418803416</v>
      </c>
      <c r="J66" s="273">
        <v>0.40599999999999997</v>
      </c>
      <c r="K66" s="274">
        <v>0.48597046413502099</v>
      </c>
      <c r="Y66" s="190"/>
      <c r="Z66" s="190"/>
      <c r="AA66" s="190"/>
    </row>
    <row r="67" spans="2:27" ht="13" thickBot="1" x14ac:dyDescent="0.3">
      <c r="B67" s="275">
        <v>2940</v>
      </c>
      <c r="C67" s="308">
        <v>1.4</v>
      </c>
      <c r="D67" s="276">
        <v>0.34</v>
      </c>
      <c r="E67" s="276">
        <v>0.28413738738738736</v>
      </c>
      <c r="F67" s="276">
        <v>0.27300000000000002</v>
      </c>
      <c r="G67" s="276">
        <v>0.24217948717948712</v>
      </c>
      <c r="H67" s="276">
        <v>0.192</v>
      </c>
      <c r="I67" s="276">
        <v>0.36205128205128201</v>
      </c>
      <c r="J67" s="276">
        <v>0.39200000000000007</v>
      </c>
      <c r="K67" s="277">
        <v>0.41793459915611814</v>
      </c>
      <c r="M67" s="267" t="s">
        <v>375</v>
      </c>
      <c r="Y67" s="190"/>
      <c r="Z67" s="190"/>
      <c r="AA67" s="190"/>
    </row>
    <row r="68" spans="2:27" x14ac:dyDescent="0.25">
      <c r="B68" s="272">
        <v>3360</v>
      </c>
      <c r="C68" s="307">
        <v>1.6</v>
      </c>
      <c r="D68" s="273">
        <v>0.23800000000000002</v>
      </c>
      <c r="E68" s="273">
        <v>0.25070945945945944</v>
      </c>
      <c r="F68" s="273">
        <v>0.24700000000000003</v>
      </c>
      <c r="G68" s="273">
        <v>0.22603418803418801</v>
      </c>
      <c r="H68" s="273">
        <v>0.16800000000000001</v>
      </c>
      <c r="I68" s="273">
        <v>0.31377777777777777</v>
      </c>
      <c r="J68" s="273">
        <v>0.32200000000000001</v>
      </c>
      <c r="K68" s="274">
        <v>0.34989873417721512</v>
      </c>
      <c r="L68" s="292" t="s">
        <v>342</v>
      </c>
      <c r="M68" s="293" t="s">
        <v>340</v>
      </c>
      <c r="N68" s="294">
        <v>1</v>
      </c>
    </row>
    <row r="69" spans="2:27" x14ac:dyDescent="0.25">
      <c r="B69" s="275">
        <v>3780</v>
      </c>
      <c r="C69" s="308">
        <v>1.8</v>
      </c>
      <c r="D69" s="276">
        <v>0.187</v>
      </c>
      <c r="E69" s="276">
        <v>0.20892454954954953</v>
      </c>
      <c r="F69" s="276">
        <v>0.20800000000000002</v>
      </c>
      <c r="G69" s="276">
        <v>0.20988888888888885</v>
      </c>
      <c r="H69" s="276">
        <v>0.16800000000000001</v>
      </c>
      <c r="I69" s="276">
        <v>0.31377777777777777</v>
      </c>
      <c r="J69" s="276">
        <v>0.28000000000000003</v>
      </c>
      <c r="K69" s="277">
        <v>0.31102109704641345</v>
      </c>
      <c r="L69" s="295" t="s">
        <v>348</v>
      </c>
      <c r="M69" s="296" t="s">
        <v>366</v>
      </c>
      <c r="N69" s="297">
        <v>0.9</v>
      </c>
    </row>
    <row r="70" spans="2:27" ht="13" thickBot="1" x14ac:dyDescent="0.3">
      <c r="B70" s="289">
        <v>4200</v>
      </c>
      <c r="C70" s="311">
        <v>2</v>
      </c>
      <c r="D70" s="290">
        <v>0.153</v>
      </c>
      <c r="E70" s="290">
        <v>0.15878265765765764</v>
      </c>
      <c r="F70" s="290">
        <v>0.19500000000000001</v>
      </c>
      <c r="G70" s="290">
        <v>0.19374358974358971</v>
      </c>
      <c r="H70" s="290">
        <v>0.16800000000000001</v>
      </c>
      <c r="I70" s="290">
        <v>0.28964102564102562</v>
      </c>
      <c r="J70" s="290">
        <v>0.26600000000000001</v>
      </c>
      <c r="K70" s="291">
        <v>0.23326582278481006</v>
      </c>
      <c r="L70" s="298" t="s">
        <v>345</v>
      </c>
      <c r="M70" s="299" t="s">
        <v>365</v>
      </c>
      <c r="N70" s="300">
        <v>1</v>
      </c>
    </row>
  </sheetData>
  <mergeCells count="5">
    <mergeCell ref="M55:N55"/>
    <mergeCell ref="M1:N1"/>
    <mergeCell ref="P1:Q1"/>
    <mergeCell ref="M18:N18"/>
    <mergeCell ref="M38:N3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68"/>
  <sheetViews>
    <sheetView workbookViewId="0">
      <selection activeCell="P21" sqref="P21:X27"/>
    </sheetView>
  </sheetViews>
  <sheetFormatPr defaultColWidth="9.1796875" defaultRowHeight="12.5" x14ac:dyDescent="0.25"/>
  <cols>
    <col min="1" max="1" width="30.453125" style="266" customWidth="1"/>
    <col min="2" max="2" width="10.26953125" style="337" customWidth="1"/>
    <col min="3" max="3" width="9.26953125" style="337" customWidth="1"/>
    <col min="4" max="11" width="10.1796875" style="337" customWidth="1"/>
    <col min="12" max="12" width="9.1796875" style="337"/>
    <col min="13" max="13" width="63.453125" style="190" customWidth="1"/>
    <col min="14" max="15" width="9.1796875" style="190"/>
    <col min="16" max="16" width="54.453125" style="190" bestFit="1" customWidth="1"/>
    <col min="17" max="18" width="12.81640625" style="190" bestFit="1" customWidth="1"/>
    <col min="19" max="19" width="9.1796875" style="190"/>
    <col min="20" max="20" width="16.7265625" style="190" customWidth="1"/>
    <col min="21" max="21" width="18.1796875" style="190" customWidth="1"/>
    <col min="22" max="25" width="9.1796875" style="190"/>
    <col min="26" max="26" width="16.7265625" style="190" customWidth="1"/>
    <col min="27" max="27" width="18.1796875" style="190" customWidth="1"/>
    <col min="28" max="32" width="9.1796875" style="190"/>
    <col min="33" max="16384" width="9.1796875" style="337"/>
  </cols>
  <sheetData>
    <row r="1" spans="1:17" x14ac:dyDescent="0.25">
      <c r="A1" s="314" t="s">
        <v>328</v>
      </c>
      <c r="B1" s="336" t="s">
        <v>329</v>
      </c>
      <c r="M1" s="829" t="s">
        <v>358</v>
      </c>
      <c r="N1" s="829"/>
      <c r="P1" s="830" t="s">
        <v>331</v>
      </c>
      <c r="Q1" s="830"/>
    </row>
    <row r="2" spans="1:17" ht="52" x14ac:dyDescent="0.3">
      <c r="B2" s="338" t="s">
        <v>384</v>
      </c>
      <c r="C2" s="339" t="s">
        <v>385</v>
      </c>
      <c r="D2" s="340" t="s">
        <v>277</v>
      </c>
      <c r="E2" s="340" t="s">
        <v>278</v>
      </c>
      <c r="F2" s="340" t="s">
        <v>279</v>
      </c>
      <c r="G2" s="340" t="s">
        <v>280</v>
      </c>
      <c r="H2" s="340" t="s">
        <v>281</v>
      </c>
      <c r="I2" s="340" t="s">
        <v>282</v>
      </c>
      <c r="J2" s="340" t="s">
        <v>283</v>
      </c>
      <c r="K2" s="341" t="s">
        <v>284</v>
      </c>
    </row>
    <row r="3" spans="1:17" x14ac:dyDescent="0.25">
      <c r="B3" s="342">
        <v>0</v>
      </c>
      <c r="C3" s="343">
        <v>0</v>
      </c>
      <c r="D3" s="343">
        <v>1.008</v>
      </c>
      <c r="E3" s="343">
        <v>1.1880000000000002</v>
      </c>
      <c r="F3" s="343">
        <v>1.1499999999999999</v>
      </c>
      <c r="G3" s="343">
        <v>0.78299999999999992</v>
      </c>
      <c r="H3" s="343">
        <v>0.48799999999999999</v>
      </c>
      <c r="I3" s="343">
        <v>1.1025</v>
      </c>
      <c r="J3" s="343">
        <v>1.8199999999999998</v>
      </c>
      <c r="K3" s="344">
        <v>1.55</v>
      </c>
    </row>
    <row r="4" spans="1:17" ht="13" x14ac:dyDescent="0.3">
      <c r="B4" s="345">
        <v>105</v>
      </c>
      <c r="C4" s="346">
        <v>0.05</v>
      </c>
      <c r="D4" s="346">
        <v>0.85199999999999998</v>
      </c>
      <c r="E4" s="346">
        <v>1.0669999999999999</v>
      </c>
      <c r="F4" s="346">
        <v>1.05</v>
      </c>
      <c r="G4" s="346">
        <v>0.70199999999999996</v>
      </c>
      <c r="H4" s="346">
        <v>0.41600000000000004</v>
      </c>
      <c r="I4" s="346">
        <v>1.008</v>
      </c>
      <c r="J4" s="346">
        <v>1.6900000000000002</v>
      </c>
      <c r="K4" s="347">
        <v>1.4125000000000001</v>
      </c>
      <c r="M4" s="376" t="s">
        <v>334</v>
      </c>
      <c r="N4" s="341" t="s">
        <v>335</v>
      </c>
      <c r="P4" s="376" t="s">
        <v>336</v>
      </c>
      <c r="Q4" s="341" t="s">
        <v>337</v>
      </c>
    </row>
    <row r="5" spans="1:17" x14ac:dyDescent="0.25">
      <c r="B5" s="342">
        <v>210</v>
      </c>
      <c r="C5" s="343">
        <v>0.1</v>
      </c>
      <c r="D5" s="343">
        <v>0.78</v>
      </c>
      <c r="E5" s="343">
        <v>0.9900000000000001</v>
      </c>
      <c r="F5" s="343">
        <v>0.99</v>
      </c>
      <c r="G5" s="343">
        <v>0.66599999999999993</v>
      </c>
      <c r="H5" s="343">
        <v>0.39200000000000002</v>
      </c>
      <c r="I5" s="343">
        <v>0.95550000000000002</v>
      </c>
      <c r="J5" s="343">
        <v>1.625</v>
      </c>
      <c r="K5" s="344">
        <v>1.3</v>
      </c>
      <c r="M5" s="348" t="s">
        <v>338</v>
      </c>
      <c r="N5" s="349">
        <v>0.6</v>
      </c>
      <c r="P5" s="348" t="s">
        <v>339</v>
      </c>
      <c r="Q5" s="350">
        <v>7.8644415883341229E-2</v>
      </c>
    </row>
    <row r="6" spans="1:17" x14ac:dyDescent="0.25">
      <c r="B6" s="345">
        <v>420</v>
      </c>
      <c r="C6" s="346">
        <v>0.2</v>
      </c>
      <c r="D6" s="346">
        <v>0.624</v>
      </c>
      <c r="E6" s="346">
        <v>0.84700000000000009</v>
      </c>
      <c r="F6" s="346">
        <v>0.88</v>
      </c>
      <c r="G6" s="346">
        <v>0.58499999999999996</v>
      </c>
      <c r="H6" s="346">
        <v>0.35199999999999998</v>
      </c>
      <c r="I6" s="346">
        <v>0.86099999999999988</v>
      </c>
      <c r="J6" s="346">
        <v>1.4560000000000002</v>
      </c>
      <c r="K6" s="347">
        <v>1.1375</v>
      </c>
      <c r="M6" s="351" t="s">
        <v>340</v>
      </c>
      <c r="N6" s="352">
        <v>1.4</v>
      </c>
      <c r="P6" s="351" t="s">
        <v>341</v>
      </c>
      <c r="Q6" s="353">
        <v>8.1692034930960278E-2</v>
      </c>
    </row>
    <row r="7" spans="1:17" x14ac:dyDescent="0.25">
      <c r="B7" s="342">
        <v>840</v>
      </c>
      <c r="C7" s="343">
        <v>0.4</v>
      </c>
      <c r="D7" s="343">
        <v>0.432</v>
      </c>
      <c r="E7" s="343">
        <v>0.63800000000000001</v>
      </c>
      <c r="F7" s="343">
        <v>0.71</v>
      </c>
      <c r="G7" s="343">
        <v>0.48599999999999999</v>
      </c>
      <c r="H7" s="343">
        <v>0.28799999999999998</v>
      </c>
      <c r="I7" s="343">
        <v>0.70350000000000013</v>
      </c>
      <c r="J7" s="343">
        <v>1.17</v>
      </c>
      <c r="K7" s="344">
        <v>0.86249999999999993</v>
      </c>
      <c r="L7" s="337" t="s">
        <v>342</v>
      </c>
      <c r="M7" s="348" t="s">
        <v>343</v>
      </c>
      <c r="N7" s="349">
        <v>1</v>
      </c>
      <c r="P7" s="348" t="s">
        <v>344</v>
      </c>
      <c r="Q7" s="350">
        <v>8.3215844454769802E-2</v>
      </c>
    </row>
    <row r="8" spans="1:17" x14ac:dyDescent="0.25">
      <c r="B8" s="345">
        <v>1260</v>
      </c>
      <c r="C8" s="346">
        <v>0.6</v>
      </c>
      <c r="D8" s="346">
        <v>0.36</v>
      </c>
      <c r="E8" s="346">
        <v>0.47300000000000003</v>
      </c>
      <c r="F8" s="346">
        <v>0.61</v>
      </c>
      <c r="G8" s="346">
        <v>0.40499999999999997</v>
      </c>
      <c r="H8" s="346">
        <v>0.248</v>
      </c>
      <c r="I8" s="346">
        <v>0.60899999999999999</v>
      </c>
      <c r="J8" s="346">
        <v>0.98799999999999999</v>
      </c>
      <c r="K8" s="347">
        <v>0.63750000000000007</v>
      </c>
      <c r="L8" s="337" t="s">
        <v>345</v>
      </c>
      <c r="M8" s="351" t="s">
        <v>346</v>
      </c>
      <c r="N8" s="354">
        <v>0.89933232292464516</v>
      </c>
      <c r="P8" s="355" t="s">
        <v>347</v>
      </c>
      <c r="Q8" s="356">
        <v>8.3977749216674558E-2</v>
      </c>
    </row>
    <row r="9" spans="1:17" x14ac:dyDescent="0.25">
      <c r="B9" s="342">
        <v>1680</v>
      </c>
      <c r="C9" s="343">
        <v>0.8</v>
      </c>
      <c r="D9" s="343">
        <v>0.312</v>
      </c>
      <c r="E9" s="343">
        <v>0.38500000000000001</v>
      </c>
      <c r="F9" s="343">
        <v>0.5</v>
      </c>
      <c r="G9" s="343">
        <v>0.34199999999999997</v>
      </c>
      <c r="H9" s="343">
        <v>0.20800000000000002</v>
      </c>
      <c r="I9" s="343">
        <v>0.52500000000000002</v>
      </c>
      <c r="J9" s="343">
        <v>0.85799999999999998</v>
      </c>
      <c r="K9" s="344">
        <v>0.50000000000000011</v>
      </c>
      <c r="L9" s="337" t="s">
        <v>348</v>
      </c>
      <c r="M9" s="348" t="s">
        <v>349</v>
      </c>
      <c r="N9" s="357">
        <v>0.83636060816966273</v>
      </c>
    </row>
    <row r="10" spans="1:17" x14ac:dyDescent="0.25">
      <c r="B10" s="345">
        <v>2100</v>
      </c>
      <c r="C10" s="346">
        <v>1</v>
      </c>
      <c r="D10" s="346">
        <v>0.26400000000000001</v>
      </c>
      <c r="E10" s="346">
        <v>0.31900000000000001</v>
      </c>
      <c r="F10" s="346">
        <v>0.42</v>
      </c>
      <c r="G10" s="346">
        <v>0.28799999999999998</v>
      </c>
      <c r="H10" s="346">
        <v>0.184</v>
      </c>
      <c r="I10" s="346">
        <v>0.441</v>
      </c>
      <c r="J10" s="346">
        <v>0.72800000000000009</v>
      </c>
      <c r="K10" s="347">
        <v>0.44999999999999996</v>
      </c>
      <c r="M10" s="355" t="s">
        <v>350</v>
      </c>
      <c r="N10" s="358">
        <v>0.8</v>
      </c>
      <c r="O10" s="190" t="s">
        <v>386</v>
      </c>
    </row>
    <row r="11" spans="1:17" x14ac:dyDescent="0.25">
      <c r="B11" s="342">
        <v>2520</v>
      </c>
      <c r="C11" s="343">
        <v>1.2</v>
      </c>
      <c r="D11" s="343">
        <v>0.24000000000000002</v>
      </c>
      <c r="E11" s="343">
        <v>0.26400000000000001</v>
      </c>
      <c r="F11" s="343">
        <v>0.37</v>
      </c>
      <c r="G11" s="343">
        <v>0.26099999999999995</v>
      </c>
      <c r="H11" s="343">
        <v>0.184</v>
      </c>
      <c r="I11" s="343">
        <v>0.40950000000000003</v>
      </c>
      <c r="J11" s="343">
        <v>0.624</v>
      </c>
      <c r="K11" s="344">
        <v>0.36249999999999999</v>
      </c>
    </row>
    <row r="12" spans="1:17" x14ac:dyDescent="0.25">
      <c r="B12" s="345">
        <v>2940</v>
      </c>
      <c r="C12" s="346">
        <v>1.4</v>
      </c>
      <c r="D12" s="346">
        <v>0.216</v>
      </c>
      <c r="E12" s="346">
        <v>0.24200000000000002</v>
      </c>
      <c r="F12" s="346">
        <v>0.32</v>
      </c>
      <c r="G12" s="346">
        <v>0.23399999999999999</v>
      </c>
      <c r="H12" s="346">
        <v>0.152</v>
      </c>
      <c r="I12" s="346">
        <v>0.35700000000000004</v>
      </c>
      <c r="J12" s="346">
        <v>0.54599999999999993</v>
      </c>
      <c r="K12" s="347">
        <v>0.32500000000000001</v>
      </c>
      <c r="M12" s="355" t="s">
        <v>350</v>
      </c>
      <c r="N12" s="358">
        <v>0.38543816318512397</v>
      </c>
      <c r="O12" s="190" t="s">
        <v>387</v>
      </c>
    </row>
    <row r="13" spans="1:17" x14ac:dyDescent="0.25">
      <c r="B13" s="342">
        <v>3360</v>
      </c>
      <c r="C13" s="343">
        <v>1.6</v>
      </c>
      <c r="D13" s="343">
        <v>0.19200000000000003</v>
      </c>
      <c r="E13" s="343">
        <v>0.20900000000000005</v>
      </c>
      <c r="F13" s="343">
        <v>0.28000000000000003</v>
      </c>
      <c r="G13" s="343">
        <v>0.21599999999999997</v>
      </c>
      <c r="H13" s="343">
        <v>0.14399999999999999</v>
      </c>
      <c r="I13" s="343">
        <v>0.32550000000000001</v>
      </c>
      <c r="J13" s="343">
        <v>0.49399999999999999</v>
      </c>
      <c r="K13" s="344">
        <v>0.26250000000000001</v>
      </c>
      <c r="L13" s="337" t="s">
        <v>342</v>
      </c>
      <c r="M13" s="348" t="s">
        <v>343</v>
      </c>
      <c r="N13" s="349">
        <v>1</v>
      </c>
    </row>
    <row r="14" spans="1:17" x14ac:dyDescent="0.25">
      <c r="B14" s="345">
        <v>3780</v>
      </c>
      <c r="C14" s="346">
        <v>1.8</v>
      </c>
      <c r="D14" s="346">
        <v>0.18</v>
      </c>
      <c r="E14" s="346">
        <v>0.19800000000000001</v>
      </c>
      <c r="F14" s="346">
        <v>0.26</v>
      </c>
      <c r="G14" s="346">
        <v>0.19800000000000001</v>
      </c>
      <c r="H14" s="346">
        <v>0.13600000000000001</v>
      </c>
      <c r="I14" s="346">
        <v>0.29399999999999998</v>
      </c>
      <c r="J14" s="346">
        <v>0.442</v>
      </c>
      <c r="K14" s="347">
        <v>0.25000000000000006</v>
      </c>
      <c r="L14" s="337" t="s">
        <v>348</v>
      </c>
      <c r="M14" s="351" t="s">
        <v>349</v>
      </c>
      <c r="N14" s="354">
        <v>0.83636060816966273</v>
      </c>
    </row>
    <row r="15" spans="1:17" x14ac:dyDescent="0.25">
      <c r="B15" s="359">
        <v>4200</v>
      </c>
      <c r="C15" s="360">
        <v>2</v>
      </c>
      <c r="D15" s="343">
        <v>0.16800000000000001</v>
      </c>
      <c r="E15" s="360">
        <v>0.18700000000000003</v>
      </c>
      <c r="F15" s="360">
        <v>0.24</v>
      </c>
      <c r="G15" s="360">
        <v>0.18899999999999997</v>
      </c>
      <c r="H15" s="360">
        <v>0.13600000000000001</v>
      </c>
      <c r="I15" s="360">
        <v>0.27300000000000002</v>
      </c>
      <c r="J15" s="360">
        <v>0.40300000000000002</v>
      </c>
      <c r="K15" s="361">
        <v>0.21250000000000002</v>
      </c>
      <c r="L15" s="337" t="s">
        <v>345</v>
      </c>
      <c r="M15" s="348" t="s">
        <v>346</v>
      </c>
      <c r="N15" s="357">
        <v>0.89933232292464516</v>
      </c>
    </row>
    <row r="18" spans="1:23" ht="18.75" customHeight="1" x14ac:dyDescent="0.25">
      <c r="A18" s="315" t="s">
        <v>359</v>
      </c>
      <c r="B18" s="336" t="s">
        <v>360</v>
      </c>
      <c r="M18" s="829" t="s">
        <v>358</v>
      </c>
      <c r="N18" s="829"/>
      <c r="P18" s="190" t="s">
        <v>362</v>
      </c>
    </row>
    <row r="20" spans="1:23" ht="52" x14ac:dyDescent="0.3">
      <c r="B20" s="338" t="s">
        <v>384</v>
      </c>
      <c r="C20" s="339" t="s">
        <v>385</v>
      </c>
      <c r="D20" s="340" t="s">
        <v>277</v>
      </c>
      <c r="E20" s="340" t="s">
        <v>278</v>
      </c>
      <c r="F20" s="340" t="s">
        <v>279</v>
      </c>
      <c r="G20" s="340" t="s">
        <v>280</v>
      </c>
      <c r="H20" s="340" t="s">
        <v>281</v>
      </c>
      <c r="I20" s="340" t="s">
        <v>282</v>
      </c>
      <c r="J20" s="340" t="s">
        <v>283</v>
      </c>
      <c r="K20" s="341" t="s">
        <v>284</v>
      </c>
    </row>
    <row r="21" spans="1:23" ht="13" x14ac:dyDescent="0.3">
      <c r="B21" s="342">
        <v>0</v>
      </c>
      <c r="C21" s="343">
        <v>0</v>
      </c>
      <c r="D21" s="343">
        <v>1.52</v>
      </c>
      <c r="E21" s="343">
        <v>1.4400000000000002</v>
      </c>
      <c r="F21" s="343">
        <v>1.2800000000000002</v>
      </c>
      <c r="G21" s="343">
        <v>0.76500000000000012</v>
      </c>
      <c r="H21" s="343">
        <v>0.77400000000000002</v>
      </c>
      <c r="I21" s="343">
        <v>0.74250000000000005</v>
      </c>
      <c r="J21" s="343">
        <v>1.32</v>
      </c>
      <c r="K21" s="344">
        <v>1.4533333333333334</v>
      </c>
      <c r="M21" s="376" t="s">
        <v>334</v>
      </c>
      <c r="N21" s="341" t="s">
        <v>335</v>
      </c>
      <c r="P21" s="377" t="s">
        <v>277</v>
      </c>
      <c r="Q21" s="377" t="s">
        <v>278</v>
      </c>
      <c r="R21" s="377" t="s">
        <v>279</v>
      </c>
      <c r="S21" s="377" t="s">
        <v>280</v>
      </c>
      <c r="T21" s="377" t="s">
        <v>281</v>
      </c>
      <c r="U21" s="377" t="s">
        <v>282</v>
      </c>
      <c r="V21" s="377" t="s">
        <v>283</v>
      </c>
      <c r="W21" s="377" t="s">
        <v>284</v>
      </c>
    </row>
    <row r="22" spans="1:23" x14ac:dyDescent="0.25">
      <c r="B22" s="345">
        <v>105</v>
      </c>
      <c r="C22" s="346">
        <v>0.05</v>
      </c>
      <c r="D22" s="346">
        <v>1.4720000000000002</v>
      </c>
      <c r="E22" s="346">
        <v>1.3594405594405599</v>
      </c>
      <c r="F22" s="346">
        <v>1.1680000000000001</v>
      </c>
      <c r="G22" s="346">
        <v>0.64600000000000013</v>
      </c>
      <c r="H22" s="346">
        <v>0.64800000000000002</v>
      </c>
      <c r="I22" s="346">
        <v>0.627</v>
      </c>
      <c r="J22" s="346">
        <v>1.2150000000000001</v>
      </c>
      <c r="K22" s="347">
        <v>1.3773420479302831</v>
      </c>
      <c r="M22" s="348" t="s">
        <v>338</v>
      </c>
      <c r="N22" s="349">
        <v>0.6</v>
      </c>
      <c r="P22" s="362">
        <v>1.05</v>
      </c>
      <c r="Q22" s="362">
        <v>0.97500000000000009</v>
      </c>
      <c r="R22" s="362">
        <v>0.9</v>
      </c>
      <c r="S22" s="362">
        <v>0.85000000000000009</v>
      </c>
      <c r="T22" s="362">
        <v>0.8</v>
      </c>
      <c r="U22" s="362">
        <v>0.85000000000000009</v>
      </c>
      <c r="V22" s="362">
        <v>0.9</v>
      </c>
      <c r="W22" s="362">
        <v>0.97500000000000009</v>
      </c>
    </row>
    <row r="23" spans="1:23" x14ac:dyDescent="0.25">
      <c r="B23" s="342">
        <v>210</v>
      </c>
      <c r="C23" s="343">
        <v>0.1</v>
      </c>
      <c r="D23" s="343">
        <v>1.4560000000000002</v>
      </c>
      <c r="E23" s="343">
        <v>1.3090909090909093</v>
      </c>
      <c r="F23" s="343">
        <v>1.1200000000000001</v>
      </c>
      <c r="G23" s="343">
        <v>0.6120000000000001</v>
      </c>
      <c r="H23" s="343">
        <v>0.6120000000000001</v>
      </c>
      <c r="I23" s="343">
        <v>0.59399999999999997</v>
      </c>
      <c r="J23" s="343">
        <v>1.1400000000000001</v>
      </c>
      <c r="K23" s="344">
        <v>1.3488453159041394</v>
      </c>
      <c r="M23" s="351" t="s">
        <v>340</v>
      </c>
      <c r="N23" s="352">
        <v>1.3</v>
      </c>
      <c r="O23" s="267" t="s">
        <v>364</v>
      </c>
      <c r="P23" s="302">
        <v>0.99749999999999994</v>
      </c>
      <c r="Q23" s="302">
        <v>0.78374999999999995</v>
      </c>
      <c r="R23" s="302">
        <v>0.56999999999999995</v>
      </c>
      <c r="S23" s="302">
        <v>0.56999999999999995</v>
      </c>
      <c r="T23" s="302">
        <v>0.56999999999999995</v>
      </c>
      <c r="U23" s="302">
        <v>0.56999999999999995</v>
      </c>
      <c r="V23" s="302">
        <v>0.56999999999999995</v>
      </c>
      <c r="W23" s="302">
        <v>0.78374999999999995</v>
      </c>
    </row>
    <row r="24" spans="1:23" x14ac:dyDescent="0.25">
      <c r="B24" s="345">
        <v>420</v>
      </c>
      <c r="C24" s="346">
        <v>0.2</v>
      </c>
      <c r="D24" s="346">
        <v>1.2480000000000002</v>
      </c>
      <c r="E24" s="346">
        <v>1.1781818181818182</v>
      </c>
      <c r="F24" s="346">
        <v>0.9920000000000001</v>
      </c>
      <c r="G24" s="346">
        <v>0.54400000000000015</v>
      </c>
      <c r="H24" s="346">
        <v>0.54</v>
      </c>
      <c r="I24" s="346">
        <v>0.52800000000000002</v>
      </c>
      <c r="J24" s="346">
        <v>1.05</v>
      </c>
      <c r="K24" s="347">
        <v>1.2348583877995642</v>
      </c>
      <c r="M24" s="348" t="s">
        <v>365</v>
      </c>
      <c r="N24" s="349">
        <v>1.1000000000000001</v>
      </c>
    </row>
    <row r="25" spans="1:23" x14ac:dyDescent="0.25">
      <c r="B25" s="342">
        <v>840</v>
      </c>
      <c r="C25" s="343">
        <v>0.4</v>
      </c>
      <c r="D25" s="343">
        <v>1.1440000000000001</v>
      </c>
      <c r="E25" s="343">
        <v>1.0170629370629374</v>
      </c>
      <c r="F25" s="343">
        <v>0.84800000000000009</v>
      </c>
      <c r="G25" s="343">
        <v>0.45900000000000007</v>
      </c>
      <c r="H25" s="343">
        <v>0.46800000000000008</v>
      </c>
      <c r="I25" s="343">
        <v>0.44550000000000001</v>
      </c>
      <c r="J25" s="343">
        <v>0.9</v>
      </c>
      <c r="K25" s="344">
        <v>1.0448801742919389</v>
      </c>
      <c r="M25" s="351" t="s">
        <v>366</v>
      </c>
      <c r="N25" s="352">
        <v>0.7</v>
      </c>
      <c r="P25" s="336" t="s">
        <v>367</v>
      </c>
    </row>
    <row r="26" spans="1:23" x14ac:dyDescent="0.25">
      <c r="B26" s="345">
        <v>1260</v>
      </c>
      <c r="C26" s="346">
        <v>0.6</v>
      </c>
      <c r="D26" s="346">
        <v>0.97599999999999998</v>
      </c>
      <c r="E26" s="346">
        <v>0.86601398601398616</v>
      </c>
      <c r="F26" s="346">
        <v>0.7200000000000002</v>
      </c>
      <c r="G26" s="346">
        <v>0.39100000000000001</v>
      </c>
      <c r="H26" s="346">
        <v>0.41400000000000003</v>
      </c>
      <c r="I26" s="346">
        <v>0.3795</v>
      </c>
      <c r="J26" s="346">
        <v>0.78</v>
      </c>
      <c r="K26" s="347">
        <v>0.90239651416122013</v>
      </c>
      <c r="L26" s="337" t="s">
        <v>342</v>
      </c>
      <c r="M26" s="348" t="s">
        <v>343</v>
      </c>
      <c r="N26" s="357">
        <v>1</v>
      </c>
    </row>
    <row r="27" spans="1:23" ht="13" x14ac:dyDescent="0.3">
      <c r="B27" s="342">
        <v>1680</v>
      </c>
      <c r="C27" s="343">
        <v>0.8</v>
      </c>
      <c r="D27" s="343">
        <v>0.86400000000000021</v>
      </c>
      <c r="E27" s="343">
        <v>0.73510489510489518</v>
      </c>
      <c r="F27" s="343">
        <v>0.6080000000000001</v>
      </c>
      <c r="G27" s="343">
        <v>0.35700000000000004</v>
      </c>
      <c r="H27" s="343">
        <v>0.378</v>
      </c>
      <c r="I27" s="343">
        <v>0.36299999999999999</v>
      </c>
      <c r="J27" s="343">
        <v>0.69000000000000006</v>
      </c>
      <c r="K27" s="344">
        <v>0.75041394335511991</v>
      </c>
      <c r="L27" s="337" t="s">
        <v>345</v>
      </c>
      <c r="M27" s="351" t="s">
        <v>346</v>
      </c>
      <c r="N27" s="354">
        <v>0.95768558840835138</v>
      </c>
      <c r="P27" s="378" t="s">
        <v>380</v>
      </c>
    </row>
    <row r="28" spans="1:23" x14ac:dyDescent="0.25">
      <c r="B28" s="345">
        <v>2100</v>
      </c>
      <c r="C28" s="346">
        <v>1</v>
      </c>
      <c r="D28" s="346">
        <v>0.68800000000000006</v>
      </c>
      <c r="E28" s="346">
        <v>0.58405594405594408</v>
      </c>
      <c r="F28" s="346">
        <v>0.54400000000000004</v>
      </c>
      <c r="G28" s="346">
        <v>0.32300000000000006</v>
      </c>
      <c r="H28" s="346">
        <v>0.34200000000000003</v>
      </c>
      <c r="I28" s="346">
        <v>0.3135</v>
      </c>
      <c r="J28" s="346">
        <v>0.58500000000000008</v>
      </c>
      <c r="K28" s="347">
        <v>0.65542483660130713</v>
      </c>
      <c r="L28" s="337" t="s">
        <v>348</v>
      </c>
      <c r="M28" s="348" t="s">
        <v>349</v>
      </c>
      <c r="N28" s="357">
        <v>0.93149565027128711</v>
      </c>
      <c r="P28" s="363">
        <v>8.4489529606611775</v>
      </c>
    </row>
    <row r="29" spans="1:23" x14ac:dyDescent="0.25">
      <c r="B29" s="342">
        <v>2520</v>
      </c>
      <c r="C29" s="343">
        <v>1.2</v>
      </c>
      <c r="D29" s="343">
        <v>0.55999999999999994</v>
      </c>
      <c r="E29" s="343">
        <v>0.54377622377622392</v>
      </c>
      <c r="F29" s="343">
        <v>0.46400000000000002</v>
      </c>
      <c r="G29" s="343">
        <v>0.30600000000000005</v>
      </c>
      <c r="H29" s="343">
        <v>0.30600000000000005</v>
      </c>
      <c r="I29" s="343">
        <v>0.29699999999999999</v>
      </c>
      <c r="J29" s="343">
        <v>0.54</v>
      </c>
      <c r="K29" s="344">
        <v>0.55093681917211323</v>
      </c>
      <c r="M29" s="355" t="s">
        <v>369</v>
      </c>
      <c r="N29" s="358">
        <v>0.95</v>
      </c>
      <c r="O29" s="190" t="s">
        <v>386</v>
      </c>
    </row>
    <row r="30" spans="1:23" x14ac:dyDescent="0.25">
      <c r="B30" s="345">
        <v>2940</v>
      </c>
      <c r="C30" s="346">
        <v>1.4</v>
      </c>
      <c r="D30" s="346">
        <v>0.42400000000000004</v>
      </c>
      <c r="E30" s="346">
        <v>0.41286713286713295</v>
      </c>
      <c r="F30" s="346">
        <v>0.41600000000000009</v>
      </c>
      <c r="G30" s="346">
        <v>0.27200000000000008</v>
      </c>
      <c r="H30" s="346">
        <v>0.30600000000000005</v>
      </c>
      <c r="I30" s="346">
        <v>0.28050000000000003</v>
      </c>
      <c r="J30" s="346">
        <v>0.48000000000000004</v>
      </c>
      <c r="K30" s="347">
        <v>0.49394335511982573</v>
      </c>
    </row>
    <row r="31" spans="1:23" x14ac:dyDescent="0.25">
      <c r="B31" s="342">
        <v>3360</v>
      </c>
      <c r="C31" s="343">
        <v>1.6</v>
      </c>
      <c r="D31" s="343">
        <v>0.35199999999999998</v>
      </c>
      <c r="E31" s="343">
        <v>0.37258741258741263</v>
      </c>
      <c r="F31" s="343">
        <v>0.35200000000000004</v>
      </c>
      <c r="G31" s="343">
        <v>0.255</v>
      </c>
      <c r="H31" s="343">
        <v>0.28799999999999998</v>
      </c>
      <c r="I31" s="343">
        <v>0.2475</v>
      </c>
      <c r="J31" s="343">
        <v>0.4200000000000001</v>
      </c>
      <c r="K31" s="344">
        <v>0.41795206971677556</v>
      </c>
      <c r="M31" s="355" t="s">
        <v>369</v>
      </c>
      <c r="N31" s="358">
        <v>0.96846973764409183</v>
      </c>
      <c r="O31" s="190" t="s">
        <v>387</v>
      </c>
    </row>
    <row r="32" spans="1:23" x14ac:dyDescent="0.25">
      <c r="B32" s="345">
        <v>3780</v>
      </c>
      <c r="C32" s="346">
        <v>1.8</v>
      </c>
      <c r="D32" s="346">
        <v>0.25600000000000006</v>
      </c>
      <c r="E32" s="346">
        <v>0.30209790209790216</v>
      </c>
      <c r="F32" s="346">
        <v>0.33600000000000002</v>
      </c>
      <c r="G32" s="346">
        <v>0.23800000000000004</v>
      </c>
      <c r="H32" s="346">
        <v>0.27</v>
      </c>
      <c r="I32" s="346">
        <v>0.23100000000000001</v>
      </c>
      <c r="J32" s="346">
        <v>0.40500000000000003</v>
      </c>
      <c r="K32" s="347">
        <v>0.37995642701525056</v>
      </c>
      <c r="L32" s="337" t="s">
        <v>342</v>
      </c>
      <c r="M32" s="348" t="s">
        <v>343</v>
      </c>
      <c r="N32" s="349">
        <v>1</v>
      </c>
    </row>
    <row r="33" spans="1:20" x14ac:dyDescent="0.25">
      <c r="B33" s="359">
        <v>4200</v>
      </c>
      <c r="C33" s="360">
        <v>2</v>
      </c>
      <c r="D33" s="360">
        <v>0.19999999999999998</v>
      </c>
      <c r="E33" s="360">
        <v>0.27188811188811196</v>
      </c>
      <c r="F33" s="360">
        <v>0.32000000000000006</v>
      </c>
      <c r="G33" s="360">
        <v>0.22100000000000006</v>
      </c>
      <c r="H33" s="360">
        <v>0.252</v>
      </c>
      <c r="I33" s="360">
        <v>0.23100000000000001</v>
      </c>
      <c r="J33" s="360">
        <v>0.36</v>
      </c>
      <c r="K33" s="361">
        <v>0.30396514161220045</v>
      </c>
      <c r="L33" s="337" t="s">
        <v>348</v>
      </c>
      <c r="M33" s="351" t="s">
        <v>349</v>
      </c>
      <c r="N33" s="354">
        <v>0.93149565027128711</v>
      </c>
    </row>
    <row r="34" spans="1:20" x14ac:dyDescent="0.25">
      <c r="B34" s="364"/>
      <c r="C34" s="365"/>
      <c r="D34" s="365"/>
      <c r="E34" s="365"/>
      <c r="F34" s="365"/>
      <c r="G34" s="365"/>
      <c r="H34" s="365"/>
      <c r="I34" s="365"/>
      <c r="J34" s="365"/>
      <c r="K34" s="365"/>
      <c r="L34" s="337" t="s">
        <v>345</v>
      </c>
      <c r="M34" s="348" t="s">
        <v>346</v>
      </c>
      <c r="N34" s="357">
        <v>0.95768558840835138</v>
      </c>
    </row>
    <row r="36" spans="1:20" ht="18.75" customHeight="1" x14ac:dyDescent="0.25">
      <c r="B36" s="336" t="s">
        <v>354</v>
      </c>
      <c r="M36" s="829" t="s">
        <v>355</v>
      </c>
      <c r="N36" s="829"/>
      <c r="P36" s="336" t="s">
        <v>356</v>
      </c>
    </row>
    <row r="38" spans="1:20" ht="52" x14ac:dyDescent="0.3">
      <c r="A38" s="318" t="s">
        <v>353</v>
      </c>
      <c r="B38" s="338" t="s">
        <v>384</v>
      </c>
      <c r="C38" s="339" t="s">
        <v>385</v>
      </c>
      <c r="D38" s="366" t="s">
        <v>277</v>
      </c>
      <c r="E38" s="366" t="s">
        <v>278</v>
      </c>
      <c r="F38" s="366" t="s">
        <v>279</v>
      </c>
      <c r="G38" s="366" t="s">
        <v>280</v>
      </c>
      <c r="H38" s="366" t="s">
        <v>281</v>
      </c>
      <c r="I38" s="366" t="s">
        <v>282</v>
      </c>
      <c r="J38" s="366" t="s">
        <v>283</v>
      </c>
      <c r="K38" s="367" t="s">
        <v>284</v>
      </c>
    </row>
    <row r="39" spans="1:20" ht="13" x14ac:dyDescent="0.3">
      <c r="B39" s="342">
        <v>0</v>
      </c>
      <c r="C39" s="368">
        <v>0</v>
      </c>
      <c r="D39" s="343">
        <v>0.88200000000000001</v>
      </c>
      <c r="E39" s="343">
        <v>1.0530000000000002</v>
      </c>
      <c r="F39" s="343">
        <v>1.0349999999999999</v>
      </c>
      <c r="G39" s="343">
        <v>0.5655</v>
      </c>
      <c r="H39" s="343">
        <v>0.24399999999999999</v>
      </c>
      <c r="I39" s="343">
        <v>0.96074999999999999</v>
      </c>
      <c r="J39" s="343">
        <v>2.0019999999999998</v>
      </c>
      <c r="K39" s="344">
        <v>1.5375999999999999</v>
      </c>
      <c r="M39" s="376" t="s">
        <v>334</v>
      </c>
      <c r="N39" s="341" t="s">
        <v>335</v>
      </c>
      <c r="P39" s="376" t="s">
        <v>336</v>
      </c>
      <c r="Q39" s="379" t="s">
        <v>337</v>
      </c>
    </row>
    <row r="40" spans="1:20" x14ac:dyDescent="0.25">
      <c r="B40" s="345">
        <v>105</v>
      </c>
      <c r="C40" s="369">
        <v>0.05</v>
      </c>
      <c r="D40" s="346">
        <v>0.74550000000000005</v>
      </c>
      <c r="E40" s="346">
        <v>0.94574999999999998</v>
      </c>
      <c r="F40" s="346">
        <v>0.94499999999999995</v>
      </c>
      <c r="G40" s="346">
        <v>0.50700000000000001</v>
      </c>
      <c r="H40" s="346">
        <v>0.20800000000000002</v>
      </c>
      <c r="I40" s="346">
        <v>0.87839999999999996</v>
      </c>
      <c r="J40" s="346">
        <v>1.859</v>
      </c>
      <c r="K40" s="347">
        <v>1.4011999999999998</v>
      </c>
      <c r="M40" s="348" t="s">
        <v>338</v>
      </c>
      <c r="N40" s="357">
        <v>0.8</v>
      </c>
      <c r="P40" s="348" t="s">
        <v>339</v>
      </c>
      <c r="Q40" s="350">
        <v>9.6321593718147414E-2</v>
      </c>
    </row>
    <row r="41" spans="1:20" x14ac:dyDescent="0.25">
      <c r="B41" s="342">
        <v>210</v>
      </c>
      <c r="C41" s="368">
        <v>0.1</v>
      </c>
      <c r="D41" s="343">
        <v>0.6825</v>
      </c>
      <c r="E41" s="343">
        <v>0.87750000000000006</v>
      </c>
      <c r="F41" s="343">
        <v>0.8909999999999999</v>
      </c>
      <c r="G41" s="343">
        <v>0.48099999999999998</v>
      </c>
      <c r="H41" s="343">
        <v>0.19600000000000001</v>
      </c>
      <c r="I41" s="343">
        <v>0.83265</v>
      </c>
      <c r="J41" s="343">
        <v>1.7874999999999999</v>
      </c>
      <c r="K41" s="344">
        <v>1.2895999999999999</v>
      </c>
      <c r="M41" s="351" t="s">
        <v>340</v>
      </c>
      <c r="N41" s="354">
        <v>1.6</v>
      </c>
      <c r="P41" s="351" t="s">
        <v>341</v>
      </c>
      <c r="Q41" s="353">
        <v>9.8948064728480362E-2</v>
      </c>
    </row>
    <row r="42" spans="1:20" x14ac:dyDescent="0.25">
      <c r="B42" s="345">
        <v>420</v>
      </c>
      <c r="C42" s="369">
        <v>0.2</v>
      </c>
      <c r="D42" s="346">
        <v>0.54600000000000004</v>
      </c>
      <c r="E42" s="346">
        <v>0.75075000000000003</v>
      </c>
      <c r="F42" s="346">
        <v>0.79199999999999993</v>
      </c>
      <c r="G42" s="346">
        <v>0.42249999999999999</v>
      </c>
      <c r="H42" s="346">
        <v>0.17599999999999999</v>
      </c>
      <c r="I42" s="346">
        <v>0.75029999999999986</v>
      </c>
      <c r="J42" s="346">
        <v>1.6016000000000001</v>
      </c>
      <c r="K42" s="347">
        <v>1.1283999999999998</v>
      </c>
      <c r="L42" s="337" t="s">
        <v>342</v>
      </c>
      <c r="M42" s="348" t="s">
        <v>343</v>
      </c>
      <c r="N42" s="357">
        <v>1</v>
      </c>
      <c r="P42" s="348" t="s">
        <v>344</v>
      </c>
      <c r="Q42" s="350">
        <v>0.10014191518772261</v>
      </c>
    </row>
    <row r="43" spans="1:20" x14ac:dyDescent="0.25">
      <c r="B43" s="342">
        <v>840</v>
      </c>
      <c r="C43" s="368">
        <v>0.4</v>
      </c>
      <c r="D43" s="343">
        <v>0.378</v>
      </c>
      <c r="E43" s="343">
        <v>0.5655</v>
      </c>
      <c r="F43" s="343">
        <v>0.6389999999999999</v>
      </c>
      <c r="G43" s="343">
        <v>0.35100000000000003</v>
      </c>
      <c r="H43" s="343">
        <v>0.14399999999999999</v>
      </c>
      <c r="I43" s="343">
        <v>0.61305000000000009</v>
      </c>
      <c r="J43" s="343">
        <v>1.2869999999999999</v>
      </c>
      <c r="K43" s="344">
        <v>0.85559999999999981</v>
      </c>
      <c r="L43" s="337" t="s">
        <v>345</v>
      </c>
      <c r="M43" s="351" t="s">
        <v>346</v>
      </c>
      <c r="N43" s="354">
        <v>0.96</v>
      </c>
      <c r="O43" s="190" t="s">
        <v>388</v>
      </c>
      <c r="P43" s="355" t="s">
        <v>347</v>
      </c>
      <c r="Q43" s="356">
        <v>0.10068457448737819</v>
      </c>
    </row>
    <row r="44" spans="1:20" x14ac:dyDescent="0.25">
      <c r="B44" s="345">
        <v>1260</v>
      </c>
      <c r="C44" s="369">
        <v>0.6</v>
      </c>
      <c r="D44" s="346">
        <v>0.315</v>
      </c>
      <c r="E44" s="346">
        <v>0.41925000000000007</v>
      </c>
      <c r="F44" s="346">
        <v>0.54900000000000004</v>
      </c>
      <c r="G44" s="346">
        <v>0.29250000000000004</v>
      </c>
      <c r="H44" s="346">
        <v>0.124</v>
      </c>
      <c r="I44" s="346">
        <v>0.53069999999999995</v>
      </c>
      <c r="J44" s="346">
        <v>1.0868</v>
      </c>
      <c r="K44" s="347">
        <v>0.63239999999999996</v>
      </c>
      <c r="L44" s="337" t="s">
        <v>348</v>
      </c>
      <c r="M44" s="370" t="s">
        <v>349</v>
      </c>
      <c r="N44" s="371">
        <v>0.83</v>
      </c>
      <c r="O44" s="190" t="s">
        <v>388</v>
      </c>
    </row>
    <row r="45" spans="1:20" x14ac:dyDescent="0.25">
      <c r="B45" s="342">
        <v>1680</v>
      </c>
      <c r="C45" s="368">
        <v>0.8</v>
      </c>
      <c r="D45" s="343">
        <v>0.27300000000000002</v>
      </c>
      <c r="E45" s="343">
        <v>0.34125</v>
      </c>
      <c r="F45" s="343">
        <v>0.45</v>
      </c>
      <c r="G45" s="343">
        <v>0.24700000000000003</v>
      </c>
      <c r="H45" s="343">
        <v>0.10400000000000001</v>
      </c>
      <c r="I45" s="343">
        <v>0.45749999999999996</v>
      </c>
      <c r="J45" s="343">
        <v>0.94379999999999997</v>
      </c>
      <c r="K45" s="344">
        <v>0.49600000000000005</v>
      </c>
    </row>
    <row r="46" spans="1:20" ht="13" thickBot="1" x14ac:dyDescent="0.3">
      <c r="B46" s="345">
        <v>2100</v>
      </c>
      <c r="C46" s="369">
        <v>1</v>
      </c>
      <c r="D46" s="346">
        <v>0.23100000000000001</v>
      </c>
      <c r="E46" s="346">
        <v>0.28275</v>
      </c>
      <c r="F46" s="346">
        <v>0.37799999999999995</v>
      </c>
      <c r="G46" s="346">
        <v>0.20799999999999999</v>
      </c>
      <c r="H46" s="346">
        <v>9.1999999999999998E-2</v>
      </c>
      <c r="I46" s="346">
        <v>0.38429999999999997</v>
      </c>
      <c r="J46" s="346">
        <v>0.80080000000000007</v>
      </c>
      <c r="K46" s="347">
        <v>0.44639999999999991</v>
      </c>
      <c r="L46" s="266"/>
      <c r="M46" s="267" t="s">
        <v>357</v>
      </c>
      <c r="N46" s="267"/>
    </row>
    <row r="47" spans="1:20" x14ac:dyDescent="0.25">
      <c r="B47" s="342">
        <v>2520</v>
      </c>
      <c r="C47" s="368">
        <v>1.2</v>
      </c>
      <c r="D47" s="343">
        <v>0.21000000000000002</v>
      </c>
      <c r="E47" s="343">
        <v>0.23400000000000001</v>
      </c>
      <c r="F47" s="343">
        <v>0.33300000000000002</v>
      </c>
      <c r="G47" s="343">
        <v>0.1885</v>
      </c>
      <c r="H47" s="343">
        <v>9.1999999999999998E-2</v>
      </c>
      <c r="I47" s="343">
        <v>0.35685</v>
      </c>
      <c r="J47" s="343">
        <v>0.6863999999999999</v>
      </c>
      <c r="K47" s="344">
        <v>0.35959999999999992</v>
      </c>
      <c r="L47" s="292" t="s">
        <v>342</v>
      </c>
      <c r="M47" s="293" t="s">
        <v>343</v>
      </c>
      <c r="N47" s="294">
        <v>1</v>
      </c>
    </row>
    <row r="48" spans="1:20" x14ac:dyDescent="0.25">
      <c r="B48" s="345">
        <v>2940</v>
      </c>
      <c r="C48" s="369">
        <v>1.4</v>
      </c>
      <c r="D48" s="346">
        <v>0.189</v>
      </c>
      <c r="E48" s="346">
        <v>0.21450000000000002</v>
      </c>
      <c r="F48" s="346">
        <v>0.28799999999999998</v>
      </c>
      <c r="G48" s="346">
        <v>0.16900000000000001</v>
      </c>
      <c r="H48" s="346">
        <v>7.5999999999999998E-2</v>
      </c>
      <c r="I48" s="346">
        <v>0.31109999999999999</v>
      </c>
      <c r="J48" s="346">
        <v>0.60059999999999991</v>
      </c>
      <c r="K48" s="347">
        <v>0.32239999999999996</v>
      </c>
      <c r="L48" s="295" t="s">
        <v>348</v>
      </c>
      <c r="M48" s="296" t="s">
        <v>349</v>
      </c>
      <c r="N48" s="297">
        <v>0.83</v>
      </c>
      <c r="T48" s="329"/>
    </row>
    <row r="49" spans="1:23" ht="13" thickBot="1" x14ac:dyDescent="0.3">
      <c r="B49" s="342">
        <v>3360</v>
      </c>
      <c r="C49" s="368">
        <v>1.6</v>
      </c>
      <c r="D49" s="343">
        <v>0.16800000000000001</v>
      </c>
      <c r="E49" s="343">
        <v>0.18525000000000003</v>
      </c>
      <c r="F49" s="343">
        <v>0.252</v>
      </c>
      <c r="G49" s="343">
        <v>0.156</v>
      </c>
      <c r="H49" s="343">
        <v>7.1999999999999995E-2</v>
      </c>
      <c r="I49" s="343">
        <v>0.28365000000000001</v>
      </c>
      <c r="J49" s="343">
        <v>0.54339999999999999</v>
      </c>
      <c r="K49" s="344">
        <v>0.26039999999999996</v>
      </c>
      <c r="L49" s="298" t="s">
        <v>345</v>
      </c>
      <c r="M49" s="299" t="s">
        <v>346</v>
      </c>
      <c r="N49" s="300">
        <v>0.96</v>
      </c>
    </row>
    <row r="50" spans="1:23" x14ac:dyDescent="0.25">
      <c r="B50" s="345">
        <v>3780</v>
      </c>
      <c r="C50" s="369">
        <v>1.8</v>
      </c>
      <c r="D50" s="346">
        <v>0.1575</v>
      </c>
      <c r="E50" s="346">
        <v>0.17550000000000002</v>
      </c>
      <c r="F50" s="346">
        <v>0.23400000000000001</v>
      </c>
      <c r="G50" s="346">
        <v>0.14300000000000002</v>
      </c>
      <c r="H50" s="346">
        <v>6.8000000000000005E-2</v>
      </c>
      <c r="I50" s="346">
        <v>0.25619999999999998</v>
      </c>
      <c r="J50" s="346">
        <v>0.48620000000000002</v>
      </c>
      <c r="K50" s="347">
        <v>0.24800000000000003</v>
      </c>
    </row>
    <row r="51" spans="1:23" x14ac:dyDescent="0.25">
      <c r="B51" s="359">
        <v>4200</v>
      </c>
      <c r="C51" s="372">
        <v>2</v>
      </c>
      <c r="D51" s="360">
        <v>0.14700000000000002</v>
      </c>
      <c r="E51" s="360">
        <v>0.16575000000000004</v>
      </c>
      <c r="F51" s="360">
        <v>0.216</v>
      </c>
      <c r="G51" s="360">
        <v>0.13649999999999998</v>
      </c>
      <c r="H51" s="360">
        <v>6.8000000000000005E-2</v>
      </c>
      <c r="I51" s="360">
        <v>0.2379</v>
      </c>
      <c r="J51" s="360">
        <v>0.44329999999999997</v>
      </c>
      <c r="K51" s="361">
        <v>0.21080000000000002</v>
      </c>
    </row>
    <row r="53" spans="1:23" ht="18.75" customHeight="1" x14ac:dyDescent="0.25">
      <c r="B53" s="336" t="s">
        <v>360</v>
      </c>
      <c r="M53" s="829" t="s">
        <v>372</v>
      </c>
      <c r="N53" s="829"/>
      <c r="P53" s="190" t="s">
        <v>362</v>
      </c>
    </row>
    <row r="55" spans="1:23" ht="52" x14ac:dyDescent="0.3">
      <c r="A55" s="319" t="s">
        <v>371</v>
      </c>
      <c r="B55" s="338" t="s">
        <v>384</v>
      </c>
      <c r="C55" s="339" t="s">
        <v>385</v>
      </c>
      <c r="D55" s="366" t="s">
        <v>277</v>
      </c>
      <c r="E55" s="366" t="s">
        <v>278</v>
      </c>
      <c r="F55" s="366" t="s">
        <v>279</v>
      </c>
      <c r="G55" s="366" t="s">
        <v>280</v>
      </c>
      <c r="H55" s="366" t="s">
        <v>281</v>
      </c>
      <c r="I55" s="366" t="s">
        <v>282</v>
      </c>
      <c r="J55" s="366" t="s">
        <v>283</v>
      </c>
      <c r="K55" s="367" t="s">
        <v>284</v>
      </c>
    </row>
    <row r="56" spans="1:23" ht="13" x14ac:dyDescent="0.3">
      <c r="B56" s="342">
        <v>0</v>
      </c>
      <c r="C56" s="368">
        <v>0</v>
      </c>
      <c r="D56" s="343">
        <v>1.615</v>
      </c>
      <c r="E56" s="343">
        <v>1.3116666666666665</v>
      </c>
      <c r="F56" s="343">
        <v>1.1599999999999999</v>
      </c>
      <c r="G56" s="343">
        <v>0.71633333333333327</v>
      </c>
      <c r="H56" s="343">
        <v>0.49449999999999994</v>
      </c>
      <c r="I56" s="343">
        <v>0.89816666666666678</v>
      </c>
      <c r="J56" s="343">
        <v>1.1000000000000001</v>
      </c>
      <c r="K56" s="344">
        <v>1.4433333333333334</v>
      </c>
      <c r="M56" s="376" t="s">
        <v>334</v>
      </c>
      <c r="N56" s="341" t="s">
        <v>335</v>
      </c>
      <c r="P56" s="376" t="s">
        <v>277</v>
      </c>
      <c r="Q56" s="366" t="s">
        <v>278</v>
      </c>
      <c r="R56" s="366" t="s">
        <v>279</v>
      </c>
      <c r="S56" s="366" t="s">
        <v>280</v>
      </c>
      <c r="T56" s="366" t="s">
        <v>281</v>
      </c>
      <c r="U56" s="366" t="s">
        <v>282</v>
      </c>
      <c r="V56" s="366" t="s">
        <v>283</v>
      </c>
      <c r="W56" s="367" t="s">
        <v>284</v>
      </c>
    </row>
    <row r="57" spans="1:23" x14ac:dyDescent="0.25">
      <c r="B57" s="345">
        <v>105</v>
      </c>
      <c r="C57" s="369">
        <v>0.05</v>
      </c>
      <c r="D57" s="346">
        <v>1.5640000000000003</v>
      </c>
      <c r="E57" s="346">
        <v>1.2382867132867132</v>
      </c>
      <c r="F57" s="346">
        <v>1.0585</v>
      </c>
      <c r="G57" s="346">
        <v>0.60490370370370361</v>
      </c>
      <c r="H57" s="346">
        <v>0.41399999999999992</v>
      </c>
      <c r="I57" s="346">
        <v>0.75845185185185193</v>
      </c>
      <c r="J57" s="346">
        <v>1.0125000000000002</v>
      </c>
      <c r="K57" s="347">
        <v>1.3678649237472766</v>
      </c>
      <c r="M57" s="348" t="s">
        <v>338</v>
      </c>
      <c r="N57" s="357">
        <v>1</v>
      </c>
      <c r="P57" s="373">
        <v>1</v>
      </c>
      <c r="Q57" s="374">
        <v>0.9</v>
      </c>
      <c r="R57" s="374">
        <v>0.8</v>
      </c>
      <c r="S57" s="374">
        <v>0.8</v>
      </c>
      <c r="T57" s="374">
        <v>0.8</v>
      </c>
      <c r="U57" s="374">
        <v>0.8</v>
      </c>
      <c r="V57" s="374">
        <v>0.8</v>
      </c>
      <c r="W57" s="371">
        <v>0.9</v>
      </c>
    </row>
    <row r="58" spans="1:23" x14ac:dyDescent="0.25">
      <c r="B58" s="342">
        <v>210</v>
      </c>
      <c r="C58" s="368">
        <v>0.1</v>
      </c>
      <c r="D58" s="343">
        <v>1.5470000000000002</v>
      </c>
      <c r="E58" s="343">
        <v>1.1924242424242424</v>
      </c>
      <c r="F58" s="343">
        <v>1.0149999999999999</v>
      </c>
      <c r="G58" s="343">
        <v>0.57306666666666661</v>
      </c>
      <c r="H58" s="343">
        <v>0.39100000000000001</v>
      </c>
      <c r="I58" s="343">
        <v>0.71853333333333336</v>
      </c>
      <c r="J58" s="343">
        <v>0.95000000000000007</v>
      </c>
      <c r="K58" s="344">
        <v>1.3395642701525055</v>
      </c>
      <c r="M58" s="351" t="s">
        <v>340</v>
      </c>
      <c r="N58" s="354">
        <v>1.4</v>
      </c>
      <c r="O58" s="267" t="s">
        <v>364</v>
      </c>
      <c r="P58" s="302">
        <v>1</v>
      </c>
      <c r="Q58" s="302">
        <v>0.9</v>
      </c>
      <c r="R58" s="302">
        <v>0.8</v>
      </c>
      <c r="S58" s="302">
        <v>0.8</v>
      </c>
      <c r="T58" s="302">
        <v>0.8</v>
      </c>
      <c r="U58" s="302">
        <v>0.8</v>
      </c>
      <c r="V58" s="302">
        <v>0.8</v>
      </c>
      <c r="W58" s="302">
        <v>0.9</v>
      </c>
    </row>
    <row r="59" spans="1:23" x14ac:dyDescent="0.25">
      <c r="B59" s="345">
        <v>420</v>
      </c>
      <c r="C59" s="369">
        <v>0.2</v>
      </c>
      <c r="D59" s="346">
        <v>1.3260000000000001</v>
      </c>
      <c r="E59" s="346">
        <v>1.073181818181818</v>
      </c>
      <c r="F59" s="346">
        <v>0.8989999999999998</v>
      </c>
      <c r="G59" s="346">
        <v>0.50939259259259262</v>
      </c>
      <c r="H59" s="346">
        <v>0.34499999999999997</v>
      </c>
      <c r="I59" s="346">
        <v>0.63869629629629643</v>
      </c>
      <c r="J59" s="346">
        <v>0.875</v>
      </c>
      <c r="K59" s="347">
        <v>1.2263616557734205</v>
      </c>
      <c r="M59" s="348" t="s">
        <v>365</v>
      </c>
      <c r="N59" s="357">
        <v>1.1000000000000001</v>
      </c>
    </row>
    <row r="60" spans="1:23" x14ac:dyDescent="0.25">
      <c r="B60" s="342">
        <v>840</v>
      </c>
      <c r="C60" s="368">
        <v>0.4</v>
      </c>
      <c r="D60" s="343">
        <v>1.2155</v>
      </c>
      <c r="E60" s="343">
        <v>0.92642191142191144</v>
      </c>
      <c r="F60" s="343">
        <v>0.76849999999999996</v>
      </c>
      <c r="G60" s="343">
        <v>0.42979999999999996</v>
      </c>
      <c r="H60" s="343">
        <v>0.29899999999999999</v>
      </c>
      <c r="I60" s="343">
        <v>0.53890000000000005</v>
      </c>
      <c r="J60" s="343">
        <v>0.75</v>
      </c>
      <c r="K60" s="344">
        <v>1.0376906318082788</v>
      </c>
      <c r="M60" s="351" t="s">
        <v>366</v>
      </c>
      <c r="N60" s="354">
        <v>1.35</v>
      </c>
      <c r="P60" s="336" t="s">
        <v>373</v>
      </c>
    </row>
    <row r="61" spans="1:23" ht="13" thickBot="1" x14ac:dyDescent="0.3">
      <c r="B61" s="345">
        <v>1260</v>
      </c>
      <c r="C61" s="369">
        <v>0.6</v>
      </c>
      <c r="D61" s="346">
        <v>1.0369999999999999</v>
      </c>
      <c r="E61" s="346">
        <v>0.78883449883449885</v>
      </c>
      <c r="F61" s="346">
        <v>0.65249999999999997</v>
      </c>
      <c r="G61" s="346">
        <v>0.36612592592592585</v>
      </c>
      <c r="H61" s="346">
        <v>0.26450000000000001</v>
      </c>
      <c r="I61" s="346">
        <v>0.45906296296296301</v>
      </c>
      <c r="J61" s="346">
        <v>0.65000000000000013</v>
      </c>
      <c r="K61" s="347">
        <v>0.89618736383442266</v>
      </c>
      <c r="L61" s="337" t="s">
        <v>342</v>
      </c>
      <c r="M61" s="348" t="s">
        <v>343</v>
      </c>
      <c r="N61" s="357">
        <v>1</v>
      </c>
    </row>
    <row r="62" spans="1:23" ht="13.5" thickBot="1" x14ac:dyDescent="0.3">
      <c r="B62" s="342">
        <v>1680</v>
      </c>
      <c r="C62" s="368">
        <v>0.8</v>
      </c>
      <c r="D62" s="343">
        <v>0.91800000000000015</v>
      </c>
      <c r="E62" s="343">
        <v>0.66959207459207459</v>
      </c>
      <c r="F62" s="343">
        <v>0.55099999999999993</v>
      </c>
      <c r="G62" s="343">
        <v>0.3342888888888888</v>
      </c>
      <c r="H62" s="343">
        <v>0.24149999999999996</v>
      </c>
      <c r="I62" s="343">
        <v>0.43910370370370372</v>
      </c>
      <c r="J62" s="343">
        <v>0.57500000000000007</v>
      </c>
      <c r="K62" s="344">
        <v>0.74525054466230944</v>
      </c>
      <c r="L62" s="337" t="s">
        <v>345</v>
      </c>
      <c r="M62" s="351" t="s">
        <v>346</v>
      </c>
      <c r="N62" s="354">
        <v>0.96</v>
      </c>
      <c r="O62" s="190" t="s">
        <v>388</v>
      </c>
      <c r="P62" s="320" t="s">
        <v>374</v>
      </c>
    </row>
    <row r="63" spans="1:23" ht="13.5" thickBot="1" x14ac:dyDescent="0.3">
      <c r="B63" s="345">
        <v>2100</v>
      </c>
      <c r="C63" s="369">
        <v>1</v>
      </c>
      <c r="D63" s="346">
        <v>0.73099999999999998</v>
      </c>
      <c r="E63" s="346">
        <v>0.5320046620046619</v>
      </c>
      <c r="F63" s="346">
        <v>0.49299999999999994</v>
      </c>
      <c r="G63" s="346">
        <v>0.30245185185185181</v>
      </c>
      <c r="H63" s="346">
        <v>0.21849999999999997</v>
      </c>
      <c r="I63" s="346">
        <v>0.37922592592592597</v>
      </c>
      <c r="J63" s="346">
        <v>0.48750000000000004</v>
      </c>
      <c r="K63" s="347">
        <v>0.65091503267973849</v>
      </c>
      <c r="L63" s="337" t="s">
        <v>348</v>
      </c>
      <c r="M63" s="370" t="s">
        <v>349</v>
      </c>
      <c r="N63" s="375">
        <v>0.83</v>
      </c>
      <c r="O63" s="190" t="s">
        <v>388</v>
      </c>
      <c r="P63" s="321">
        <v>6.0640475483087757</v>
      </c>
    </row>
    <row r="64" spans="1:23" x14ac:dyDescent="0.25">
      <c r="B64" s="342">
        <v>2520</v>
      </c>
      <c r="C64" s="368">
        <v>1.2</v>
      </c>
      <c r="D64" s="343">
        <v>0.59499999999999997</v>
      </c>
      <c r="E64" s="343">
        <v>0.49531468531468531</v>
      </c>
      <c r="F64" s="343">
        <v>0.42049999999999987</v>
      </c>
      <c r="G64" s="343">
        <v>0.28653333333333331</v>
      </c>
      <c r="H64" s="343">
        <v>0.19550000000000001</v>
      </c>
      <c r="I64" s="343">
        <v>0.35926666666666668</v>
      </c>
      <c r="J64" s="343">
        <v>0.45</v>
      </c>
      <c r="K64" s="344">
        <v>0.5471459694989107</v>
      </c>
    </row>
    <row r="65" spans="2:14" ht="13" thickBot="1" x14ac:dyDescent="0.3">
      <c r="B65" s="345">
        <v>2940</v>
      </c>
      <c r="C65" s="369">
        <v>1.4</v>
      </c>
      <c r="D65" s="346">
        <v>0.45050000000000007</v>
      </c>
      <c r="E65" s="346">
        <v>0.37607226107226105</v>
      </c>
      <c r="F65" s="346">
        <v>0.377</v>
      </c>
      <c r="G65" s="346">
        <v>0.25469629629629631</v>
      </c>
      <c r="H65" s="346">
        <v>0.19550000000000001</v>
      </c>
      <c r="I65" s="346">
        <v>0.33930740740740745</v>
      </c>
      <c r="J65" s="346">
        <v>0.4</v>
      </c>
      <c r="K65" s="347">
        <v>0.49054466230936822</v>
      </c>
      <c r="L65" s="266"/>
      <c r="M65" s="267" t="s">
        <v>375</v>
      </c>
      <c r="N65" s="267"/>
    </row>
    <row r="66" spans="2:14" x14ac:dyDescent="0.25">
      <c r="B66" s="342">
        <v>3360</v>
      </c>
      <c r="C66" s="368">
        <v>1.6</v>
      </c>
      <c r="D66" s="343">
        <v>0.374</v>
      </c>
      <c r="E66" s="343">
        <v>0.33938228438228435</v>
      </c>
      <c r="F66" s="343">
        <v>0.31899999999999995</v>
      </c>
      <c r="G66" s="343">
        <v>0.23877777777777776</v>
      </c>
      <c r="H66" s="343">
        <v>0.18399999999999997</v>
      </c>
      <c r="I66" s="343">
        <v>0.29938888888888893</v>
      </c>
      <c r="J66" s="343">
        <v>0.35000000000000009</v>
      </c>
      <c r="K66" s="344">
        <v>0.4150762527233115</v>
      </c>
      <c r="L66" s="292" t="s">
        <v>342</v>
      </c>
      <c r="M66" s="293" t="s">
        <v>340</v>
      </c>
      <c r="N66" s="294">
        <v>1</v>
      </c>
    </row>
    <row r="67" spans="2:14" x14ac:dyDescent="0.25">
      <c r="B67" s="345">
        <v>3780</v>
      </c>
      <c r="C67" s="369">
        <v>1.8</v>
      </c>
      <c r="D67" s="346">
        <v>0.27200000000000002</v>
      </c>
      <c r="E67" s="346">
        <v>0.27517482517482517</v>
      </c>
      <c r="F67" s="346">
        <v>0.30449999999999994</v>
      </c>
      <c r="G67" s="346">
        <v>0.22285925925925923</v>
      </c>
      <c r="H67" s="346">
        <v>0.17249999999999999</v>
      </c>
      <c r="I67" s="346">
        <v>0.27942962962962969</v>
      </c>
      <c r="J67" s="346">
        <v>0.33750000000000002</v>
      </c>
      <c r="K67" s="347">
        <v>0.37734204793028325</v>
      </c>
      <c r="L67" s="295" t="s">
        <v>348</v>
      </c>
      <c r="M67" s="296" t="s">
        <v>366</v>
      </c>
      <c r="N67" s="297">
        <v>0.83</v>
      </c>
    </row>
    <row r="68" spans="2:14" ht="13" thickBot="1" x14ac:dyDescent="0.3">
      <c r="B68" s="359">
        <v>4200</v>
      </c>
      <c r="C68" s="372">
        <v>2</v>
      </c>
      <c r="D68" s="360">
        <v>0.21249999999999999</v>
      </c>
      <c r="E68" s="360">
        <v>0.24765734265734266</v>
      </c>
      <c r="F68" s="360">
        <v>0.28999999999999998</v>
      </c>
      <c r="G68" s="360">
        <v>0.20694074074074073</v>
      </c>
      <c r="H68" s="360">
        <v>0.161</v>
      </c>
      <c r="I68" s="360">
        <v>0.27942962962962969</v>
      </c>
      <c r="J68" s="360">
        <v>0.3</v>
      </c>
      <c r="K68" s="361">
        <v>0.30187363834422659</v>
      </c>
      <c r="L68" s="298" t="s">
        <v>345</v>
      </c>
      <c r="M68" s="299" t="s">
        <v>365</v>
      </c>
      <c r="N68" s="300">
        <v>0.96</v>
      </c>
    </row>
  </sheetData>
  <mergeCells count="5">
    <mergeCell ref="M53:N53"/>
    <mergeCell ref="M1:N1"/>
    <mergeCell ref="P1:Q1"/>
    <mergeCell ref="M18:N18"/>
    <mergeCell ref="M36:N3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70"/>
  <sheetViews>
    <sheetView topLeftCell="M1"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358</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1.056</v>
      </c>
      <c r="E3" s="273">
        <v>1.2987000000000002</v>
      </c>
      <c r="F3" s="273">
        <v>1.3552000000000002</v>
      </c>
      <c r="G3" s="273">
        <v>1.0904</v>
      </c>
      <c r="H3" s="273">
        <v>0.76800000000000002</v>
      </c>
      <c r="I3" s="273">
        <v>1.1147499999999999</v>
      </c>
      <c r="J3" s="273">
        <v>1.4874999999999998</v>
      </c>
      <c r="K3" s="274">
        <v>1.3864999999999998</v>
      </c>
      <c r="S3" s="190"/>
      <c r="T3" s="190"/>
      <c r="U3" s="190"/>
    </row>
    <row r="4" spans="1:21" ht="13" x14ac:dyDescent="0.25">
      <c r="B4" s="275">
        <v>105</v>
      </c>
      <c r="C4" s="276">
        <v>0.05</v>
      </c>
      <c r="D4" s="276">
        <v>0.91300000000000003</v>
      </c>
      <c r="E4" s="276">
        <v>1.1655000000000004</v>
      </c>
      <c r="F4" s="276">
        <v>1.2320000000000002</v>
      </c>
      <c r="G4" s="276">
        <v>0.96279999999999999</v>
      </c>
      <c r="H4" s="276">
        <v>0.64800000000000002</v>
      </c>
      <c r="I4" s="276">
        <v>0.99224999999999997</v>
      </c>
      <c r="J4" s="276">
        <v>1.3625</v>
      </c>
      <c r="K4" s="277">
        <v>1.25725</v>
      </c>
      <c r="M4" s="304" t="s">
        <v>334</v>
      </c>
      <c r="N4" s="271" t="s">
        <v>335</v>
      </c>
      <c r="P4" s="304" t="s">
        <v>336</v>
      </c>
      <c r="Q4" s="271" t="s">
        <v>337</v>
      </c>
      <c r="S4" s="190"/>
      <c r="T4" s="190"/>
      <c r="U4" s="190"/>
    </row>
    <row r="5" spans="1:21" x14ac:dyDescent="0.25">
      <c r="B5" s="272">
        <v>210</v>
      </c>
      <c r="C5" s="273">
        <v>0.1</v>
      </c>
      <c r="D5" s="273">
        <v>0.83600000000000008</v>
      </c>
      <c r="E5" s="273">
        <v>1.0767000000000002</v>
      </c>
      <c r="F5" s="273">
        <v>1.1648000000000003</v>
      </c>
      <c r="G5" s="273">
        <v>0.92800000000000016</v>
      </c>
      <c r="H5" s="273">
        <v>0.61199999999999999</v>
      </c>
      <c r="I5" s="273">
        <v>0.93099999999999994</v>
      </c>
      <c r="J5" s="273">
        <v>1.2874999999999999</v>
      </c>
      <c r="K5" s="274">
        <v>1.1515</v>
      </c>
      <c r="M5" s="278" t="s">
        <v>338</v>
      </c>
      <c r="N5" s="279">
        <v>0.4</v>
      </c>
      <c r="P5" s="278" t="s">
        <v>339</v>
      </c>
      <c r="Q5" s="280">
        <v>7.6190221484248741E-2</v>
      </c>
      <c r="S5" s="190"/>
      <c r="T5" s="190"/>
      <c r="U5" s="190"/>
    </row>
    <row r="6" spans="1:21" x14ac:dyDescent="0.25">
      <c r="B6" s="275">
        <v>420</v>
      </c>
      <c r="C6" s="276">
        <v>0.2</v>
      </c>
      <c r="D6" s="276">
        <v>0.68200000000000005</v>
      </c>
      <c r="E6" s="276">
        <v>0.94350000000000012</v>
      </c>
      <c r="F6" s="276">
        <v>1.0416000000000003</v>
      </c>
      <c r="G6" s="276">
        <v>0.81199999999999994</v>
      </c>
      <c r="H6" s="276">
        <v>0.54</v>
      </c>
      <c r="I6" s="276">
        <v>0.83299999999999996</v>
      </c>
      <c r="J6" s="276">
        <v>1.1375</v>
      </c>
      <c r="K6" s="277">
        <v>1.0105</v>
      </c>
      <c r="M6" s="281" t="s">
        <v>340</v>
      </c>
      <c r="N6" s="282">
        <v>1.4</v>
      </c>
      <c r="P6" s="281" t="s">
        <v>341</v>
      </c>
      <c r="Q6" s="283">
        <v>8.2141689371200491E-2</v>
      </c>
      <c r="S6" s="190"/>
      <c r="T6" s="190"/>
      <c r="U6" s="190"/>
    </row>
    <row r="7" spans="1:21" x14ac:dyDescent="0.25">
      <c r="B7" s="272">
        <v>840</v>
      </c>
      <c r="C7" s="273">
        <v>0.4</v>
      </c>
      <c r="D7" s="273">
        <v>0.44000000000000006</v>
      </c>
      <c r="E7" s="273">
        <v>0.72150000000000014</v>
      </c>
      <c r="F7" s="273">
        <v>0.85120000000000018</v>
      </c>
      <c r="G7" s="273">
        <v>0.67280000000000006</v>
      </c>
      <c r="H7" s="273">
        <v>0.45600000000000002</v>
      </c>
      <c r="I7" s="273">
        <v>0.67375000000000007</v>
      </c>
      <c r="J7" s="273">
        <v>0.92499999999999993</v>
      </c>
      <c r="K7" s="274">
        <v>0.75199999999999989</v>
      </c>
      <c r="L7" s="266" t="s">
        <v>342</v>
      </c>
      <c r="M7" s="278" t="s">
        <v>343</v>
      </c>
      <c r="N7" s="284">
        <v>1.1471114632390602</v>
      </c>
      <c r="P7" s="278" t="s">
        <v>344</v>
      </c>
      <c r="Q7" s="280">
        <v>8.7101245943660296E-2</v>
      </c>
      <c r="S7" s="190"/>
      <c r="T7" s="190"/>
      <c r="U7" s="190"/>
    </row>
    <row r="8" spans="1:21" x14ac:dyDescent="0.25">
      <c r="B8" s="275">
        <v>1260</v>
      </c>
      <c r="C8" s="276">
        <v>0.6</v>
      </c>
      <c r="D8" s="276">
        <v>0.35200000000000004</v>
      </c>
      <c r="E8" s="276">
        <v>0.56610000000000016</v>
      </c>
      <c r="F8" s="276">
        <v>0.72800000000000009</v>
      </c>
      <c r="G8" s="276">
        <v>0.57999999999999996</v>
      </c>
      <c r="H8" s="276">
        <v>0.39600000000000002</v>
      </c>
      <c r="I8" s="276">
        <v>0.57574999999999987</v>
      </c>
      <c r="J8" s="276">
        <v>0.78749999999999987</v>
      </c>
      <c r="K8" s="277">
        <v>0.59924999999999995</v>
      </c>
      <c r="L8" s="266" t="s">
        <v>345</v>
      </c>
      <c r="M8" s="281" t="s">
        <v>346</v>
      </c>
      <c r="N8" s="285">
        <v>1</v>
      </c>
      <c r="P8" s="286" t="s">
        <v>347</v>
      </c>
      <c r="Q8" s="287">
        <v>9.1234209754043463E-2</v>
      </c>
      <c r="S8" s="190"/>
      <c r="T8" s="190"/>
      <c r="U8" s="190"/>
    </row>
    <row r="9" spans="1:21" x14ac:dyDescent="0.25">
      <c r="B9" s="272">
        <v>1680</v>
      </c>
      <c r="C9" s="273">
        <v>0.8</v>
      </c>
      <c r="D9" s="273">
        <v>0.30800000000000005</v>
      </c>
      <c r="E9" s="273">
        <v>0.44400000000000017</v>
      </c>
      <c r="F9" s="273">
        <v>0.60480000000000023</v>
      </c>
      <c r="G9" s="273">
        <v>0.51040000000000008</v>
      </c>
      <c r="H9" s="273">
        <v>0.33600000000000008</v>
      </c>
      <c r="I9" s="273">
        <v>0.50224999999999986</v>
      </c>
      <c r="J9" s="273">
        <v>0.66249999999999998</v>
      </c>
      <c r="K9" s="274">
        <v>0.47000000000000003</v>
      </c>
      <c r="L9" s="266" t="s">
        <v>348</v>
      </c>
      <c r="M9" s="278" t="s">
        <v>349</v>
      </c>
      <c r="N9" s="284">
        <v>0.90822848660489386</v>
      </c>
      <c r="S9" s="190"/>
      <c r="T9" s="190"/>
      <c r="U9" s="190"/>
    </row>
    <row r="10" spans="1:21" x14ac:dyDescent="0.25">
      <c r="B10" s="275">
        <v>2100</v>
      </c>
      <c r="C10" s="276">
        <v>1</v>
      </c>
      <c r="D10" s="276">
        <v>0.27500000000000002</v>
      </c>
      <c r="E10" s="276">
        <v>0.36630000000000013</v>
      </c>
      <c r="F10" s="276">
        <v>0.53760000000000008</v>
      </c>
      <c r="G10" s="276">
        <v>0.42920000000000003</v>
      </c>
      <c r="H10" s="276">
        <v>0.3</v>
      </c>
      <c r="I10" s="276">
        <v>0.42874999999999991</v>
      </c>
      <c r="J10" s="276">
        <v>0.54999999999999993</v>
      </c>
      <c r="K10" s="277">
        <v>0.37599999999999995</v>
      </c>
      <c r="M10" s="286" t="s">
        <v>350</v>
      </c>
      <c r="N10" s="288">
        <v>0.85</v>
      </c>
      <c r="S10" s="190"/>
      <c r="T10" s="190"/>
      <c r="U10" s="190"/>
    </row>
    <row r="11" spans="1:21" x14ac:dyDescent="0.25">
      <c r="B11" s="272">
        <v>2520</v>
      </c>
      <c r="C11" s="273">
        <v>1.2</v>
      </c>
      <c r="D11" s="273">
        <v>0.24200000000000002</v>
      </c>
      <c r="E11" s="273">
        <v>0.31080000000000008</v>
      </c>
      <c r="F11" s="273">
        <v>0.45920000000000005</v>
      </c>
      <c r="G11" s="273">
        <v>0.39440000000000003</v>
      </c>
      <c r="H11" s="273">
        <v>0.27600000000000002</v>
      </c>
      <c r="I11" s="273">
        <v>0.37974999999999998</v>
      </c>
      <c r="J11" s="273">
        <v>0.47499999999999998</v>
      </c>
      <c r="K11" s="274">
        <v>0.31724999999999998</v>
      </c>
      <c r="M11" s="267" t="s">
        <v>351</v>
      </c>
      <c r="S11" s="190"/>
      <c r="T11" s="190"/>
      <c r="U11" s="190"/>
    </row>
    <row r="12" spans="1:21" x14ac:dyDescent="0.25">
      <c r="B12" s="275">
        <v>2940</v>
      </c>
      <c r="C12" s="276">
        <v>1.4</v>
      </c>
      <c r="D12" s="276">
        <v>0.20900000000000002</v>
      </c>
      <c r="E12" s="276">
        <v>0.25530000000000008</v>
      </c>
      <c r="F12" s="276">
        <v>0.40320000000000006</v>
      </c>
      <c r="G12" s="276">
        <v>0.34800000000000003</v>
      </c>
      <c r="H12" s="276">
        <v>0.252</v>
      </c>
      <c r="I12" s="276">
        <v>0.34299999999999997</v>
      </c>
      <c r="J12" s="276">
        <v>0.41249999999999998</v>
      </c>
      <c r="K12" s="277">
        <v>0.28199999999999997</v>
      </c>
      <c r="S12" s="190"/>
      <c r="T12" s="190"/>
      <c r="U12" s="190"/>
    </row>
    <row r="13" spans="1:21" x14ac:dyDescent="0.25">
      <c r="B13" s="272">
        <v>3360</v>
      </c>
      <c r="C13" s="273">
        <v>1.6</v>
      </c>
      <c r="D13" s="273">
        <v>0.19800000000000001</v>
      </c>
      <c r="E13" s="273">
        <v>0.23310000000000003</v>
      </c>
      <c r="F13" s="273">
        <v>0.3696000000000001</v>
      </c>
      <c r="G13" s="273">
        <v>0.31320000000000003</v>
      </c>
      <c r="H13" s="273">
        <v>0.24</v>
      </c>
      <c r="I13" s="273">
        <v>0.31849999999999995</v>
      </c>
      <c r="J13" s="273">
        <v>0.38749999999999996</v>
      </c>
      <c r="K13" s="274">
        <v>0.24674999999999997</v>
      </c>
      <c r="M13" s="286" t="s">
        <v>350</v>
      </c>
      <c r="N13" s="288">
        <v>0.89</v>
      </c>
    </row>
    <row r="14" spans="1:21" ht="13" thickBot="1" x14ac:dyDescent="0.3">
      <c r="B14" s="275">
        <v>3780</v>
      </c>
      <c r="C14" s="276">
        <v>1.8</v>
      </c>
      <c r="D14" s="276">
        <v>0.18700000000000003</v>
      </c>
      <c r="E14" s="276">
        <v>0.22200000000000009</v>
      </c>
      <c r="F14" s="276">
        <v>0.3136000000000001</v>
      </c>
      <c r="G14" s="276">
        <v>0.27839999999999998</v>
      </c>
      <c r="H14" s="276">
        <v>0.216</v>
      </c>
      <c r="I14" s="276">
        <v>0.29399999999999998</v>
      </c>
      <c r="J14" s="276">
        <v>0.33750000000000002</v>
      </c>
      <c r="K14" s="277">
        <v>0.22325</v>
      </c>
      <c r="M14" s="267" t="s">
        <v>352</v>
      </c>
    </row>
    <row r="15" spans="1:21" x14ac:dyDescent="0.25">
      <c r="B15" s="289">
        <v>4200</v>
      </c>
      <c r="C15" s="290">
        <v>2</v>
      </c>
      <c r="D15" s="290">
        <v>0.17600000000000002</v>
      </c>
      <c r="E15" s="290">
        <v>0.21090000000000003</v>
      </c>
      <c r="F15" s="290">
        <v>0.30240000000000011</v>
      </c>
      <c r="G15" s="290">
        <v>0.26680000000000004</v>
      </c>
      <c r="H15" s="290">
        <v>0.216</v>
      </c>
      <c r="I15" s="290">
        <v>0.25724999999999998</v>
      </c>
      <c r="J15" s="290">
        <v>0.31249999999999994</v>
      </c>
      <c r="K15" s="291">
        <v>0.21149999999999999</v>
      </c>
      <c r="L15" s="292" t="s">
        <v>342</v>
      </c>
      <c r="M15" s="293" t="s">
        <v>343</v>
      </c>
      <c r="N15" s="294">
        <v>1</v>
      </c>
    </row>
    <row r="16" spans="1:21" x14ac:dyDescent="0.25">
      <c r="L16" s="295" t="s">
        <v>348</v>
      </c>
      <c r="M16" s="296" t="s">
        <v>349</v>
      </c>
      <c r="N16" s="297">
        <v>0.90822848660489386</v>
      </c>
    </row>
    <row r="17" spans="1:27" ht="13" thickBot="1" x14ac:dyDescent="0.3">
      <c r="L17" s="298" t="s">
        <v>345</v>
      </c>
      <c r="M17" s="299" t="s">
        <v>346</v>
      </c>
      <c r="N17" s="300">
        <v>1</v>
      </c>
    </row>
    <row r="18" spans="1:27" x14ac:dyDescent="0.25">
      <c r="A18" s="315" t="s">
        <v>359</v>
      </c>
      <c r="B18" s="265" t="s">
        <v>360</v>
      </c>
      <c r="M18" s="827" t="s">
        <v>358</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1.8720000000000001</v>
      </c>
      <c r="E21" s="273">
        <v>1.9152499999999999</v>
      </c>
      <c r="F21" s="273">
        <v>1.2035</v>
      </c>
      <c r="G21" s="273">
        <v>0.52249999999999996</v>
      </c>
      <c r="H21" s="273">
        <v>0.45499999999999996</v>
      </c>
      <c r="I21" s="273">
        <v>0.53200000000000003</v>
      </c>
      <c r="J21" s="273">
        <v>1.125</v>
      </c>
      <c r="K21" s="274">
        <v>1.8</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1.8089999999999999</v>
      </c>
      <c r="E22" s="276">
        <v>1.8330000000000002</v>
      </c>
      <c r="F22" s="276">
        <v>1.1165</v>
      </c>
      <c r="G22" s="276">
        <v>0.43999999999999995</v>
      </c>
      <c r="H22" s="276">
        <v>0.37699999999999995</v>
      </c>
      <c r="I22" s="276">
        <v>0.44800000000000001</v>
      </c>
      <c r="J22" s="276">
        <v>1.0349999999999999</v>
      </c>
      <c r="K22" s="277">
        <v>1.728</v>
      </c>
      <c r="M22" s="278" t="s">
        <v>338</v>
      </c>
      <c r="N22" s="279">
        <v>0.6</v>
      </c>
      <c r="P22" s="301">
        <v>1.3</v>
      </c>
      <c r="Q22" s="301">
        <v>1.05</v>
      </c>
      <c r="R22" s="301">
        <v>0.8</v>
      </c>
      <c r="S22" s="301">
        <v>0.8</v>
      </c>
      <c r="T22" s="301">
        <v>0.8</v>
      </c>
      <c r="U22" s="301">
        <v>0.8</v>
      </c>
      <c r="V22" s="301">
        <v>0.8</v>
      </c>
      <c r="W22" s="301">
        <v>1.05</v>
      </c>
      <c r="Y22" s="190"/>
      <c r="Z22" s="190"/>
      <c r="AA22" s="190"/>
    </row>
    <row r="23" spans="1:27" x14ac:dyDescent="0.25">
      <c r="B23" s="272">
        <v>210</v>
      </c>
      <c r="C23" s="273">
        <v>0.1</v>
      </c>
      <c r="D23" s="273">
        <v>1.8089999999999999</v>
      </c>
      <c r="E23" s="273">
        <v>1.7977500000000002</v>
      </c>
      <c r="F23" s="273">
        <v>1.0585</v>
      </c>
      <c r="G23" s="273">
        <v>0.41249999999999998</v>
      </c>
      <c r="H23" s="273">
        <v>0.36400000000000005</v>
      </c>
      <c r="I23" s="273">
        <v>0.42000000000000004</v>
      </c>
      <c r="J23" s="273">
        <v>0.99</v>
      </c>
      <c r="K23" s="274">
        <v>1.6919999999999999</v>
      </c>
      <c r="M23" s="281" t="s">
        <v>340</v>
      </c>
      <c r="N23" s="282">
        <v>1.3</v>
      </c>
      <c r="O23" s="267" t="s">
        <v>364</v>
      </c>
      <c r="P23" s="302">
        <v>1.4040000000000001</v>
      </c>
      <c r="Q23" s="302">
        <v>1.1340000000000001</v>
      </c>
      <c r="R23" s="302">
        <v>0.8640000000000001</v>
      </c>
      <c r="S23" s="302">
        <v>0.8640000000000001</v>
      </c>
      <c r="T23" s="302">
        <v>0.8640000000000001</v>
      </c>
      <c r="U23" s="302">
        <v>0.8640000000000001</v>
      </c>
      <c r="V23" s="302">
        <v>0.8640000000000001</v>
      </c>
      <c r="W23" s="302">
        <v>1.1340000000000001</v>
      </c>
      <c r="Y23" s="190"/>
      <c r="Z23" s="190"/>
      <c r="AA23" s="190"/>
    </row>
    <row r="24" spans="1:27" x14ac:dyDescent="0.25">
      <c r="B24" s="275">
        <v>420</v>
      </c>
      <c r="C24" s="276">
        <v>0.2</v>
      </c>
      <c r="D24" s="276">
        <v>1.7009999999999998</v>
      </c>
      <c r="E24" s="276">
        <v>1.68025</v>
      </c>
      <c r="F24" s="276">
        <v>0.9860000000000001</v>
      </c>
      <c r="G24" s="276">
        <v>0.37124999999999997</v>
      </c>
      <c r="H24" s="276">
        <v>0.32499999999999996</v>
      </c>
      <c r="I24" s="276">
        <v>0.378</v>
      </c>
      <c r="J24" s="276">
        <v>0.89999999999999991</v>
      </c>
      <c r="K24" s="277">
        <v>1.536</v>
      </c>
      <c r="M24" s="278" t="s">
        <v>365</v>
      </c>
      <c r="N24" s="279">
        <v>1.08</v>
      </c>
      <c r="Y24" s="190"/>
      <c r="Z24" s="190"/>
      <c r="AA24" s="190"/>
    </row>
    <row r="25" spans="1:27" x14ac:dyDescent="0.25">
      <c r="B25" s="272">
        <v>840</v>
      </c>
      <c r="C25" s="273">
        <v>0.4</v>
      </c>
      <c r="D25" s="273">
        <v>1.4580000000000002</v>
      </c>
      <c r="E25" s="273">
        <v>1.4570000000000001</v>
      </c>
      <c r="F25" s="273">
        <v>0.84100000000000008</v>
      </c>
      <c r="G25" s="273">
        <v>0.31624999999999998</v>
      </c>
      <c r="H25" s="273">
        <v>0.27299999999999996</v>
      </c>
      <c r="I25" s="273">
        <v>0.32200000000000001</v>
      </c>
      <c r="J25" s="273">
        <v>0.75</v>
      </c>
      <c r="K25" s="274">
        <v>1.3559999999999999</v>
      </c>
      <c r="M25" s="281" t="s">
        <v>366</v>
      </c>
      <c r="N25" s="282">
        <v>1.22</v>
      </c>
      <c r="P25" s="380" t="s">
        <v>367</v>
      </c>
      <c r="Y25" s="190"/>
      <c r="Z25" s="190"/>
      <c r="AA25" s="190"/>
    </row>
    <row r="26" spans="1:27" x14ac:dyDescent="0.25">
      <c r="B26" s="275">
        <v>1260</v>
      </c>
      <c r="C26" s="276">
        <v>0.6</v>
      </c>
      <c r="D26" s="276">
        <v>1.3410000000000002</v>
      </c>
      <c r="E26" s="276">
        <v>1.2807500000000003</v>
      </c>
      <c r="F26" s="276">
        <v>0.72500000000000009</v>
      </c>
      <c r="G26" s="276">
        <v>0.27499999999999997</v>
      </c>
      <c r="H26" s="276">
        <v>0.247</v>
      </c>
      <c r="I26" s="276">
        <v>0.28000000000000003</v>
      </c>
      <c r="J26" s="276">
        <v>0.66</v>
      </c>
      <c r="K26" s="277">
        <v>1.1520000000000001</v>
      </c>
      <c r="L26" s="266" t="s">
        <v>342</v>
      </c>
      <c r="M26" s="278" t="s">
        <v>343</v>
      </c>
      <c r="N26" s="284">
        <v>1.0473414870636766</v>
      </c>
      <c r="Y26" s="190"/>
      <c r="Z26" s="190"/>
      <c r="AA26" s="190"/>
    </row>
    <row r="27" spans="1:27" ht="13" x14ac:dyDescent="0.25">
      <c r="B27" s="272">
        <v>1680</v>
      </c>
      <c r="C27" s="273">
        <v>0.8</v>
      </c>
      <c r="D27" s="273">
        <v>1.143</v>
      </c>
      <c r="E27" s="273">
        <v>1.1045</v>
      </c>
      <c r="F27" s="273">
        <v>0.63800000000000001</v>
      </c>
      <c r="G27" s="273">
        <v>0.24749999999999997</v>
      </c>
      <c r="H27" s="273">
        <v>0.221</v>
      </c>
      <c r="I27" s="273">
        <v>0.252</v>
      </c>
      <c r="J27" s="273">
        <v>0.58499999999999996</v>
      </c>
      <c r="K27" s="274">
        <v>0.996</v>
      </c>
      <c r="L27" s="266" t="s">
        <v>345</v>
      </c>
      <c r="M27" s="281" t="s">
        <v>346</v>
      </c>
      <c r="N27" s="285">
        <v>1</v>
      </c>
      <c r="P27" s="317" t="s">
        <v>380</v>
      </c>
      <c r="Y27" s="190"/>
      <c r="Z27" s="190"/>
      <c r="AA27" s="190"/>
    </row>
    <row r="28" spans="1:27" x14ac:dyDescent="0.25">
      <c r="B28" s="275">
        <v>2100</v>
      </c>
      <c r="C28" s="276">
        <v>1</v>
      </c>
      <c r="D28" s="276">
        <v>1.0439999999999998</v>
      </c>
      <c r="E28" s="276">
        <v>0.97525000000000006</v>
      </c>
      <c r="F28" s="276">
        <v>0.59450000000000003</v>
      </c>
      <c r="G28" s="276">
        <v>0.21999999999999997</v>
      </c>
      <c r="H28" s="276">
        <v>0.20799999999999999</v>
      </c>
      <c r="I28" s="276">
        <v>0.224</v>
      </c>
      <c r="J28" s="276">
        <v>0.51</v>
      </c>
      <c r="K28" s="277">
        <v>0.85199999999999998</v>
      </c>
      <c r="L28" s="266" t="s">
        <v>348</v>
      </c>
      <c r="M28" s="278" t="s">
        <v>349</v>
      </c>
      <c r="N28" s="284">
        <v>0.9716373261423854</v>
      </c>
      <c r="P28" s="303">
        <v>7.02</v>
      </c>
      <c r="Q28" s="267" t="s">
        <v>533</v>
      </c>
      <c r="Y28" s="190"/>
      <c r="Z28" s="190"/>
      <c r="AA28" s="190"/>
    </row>
    <row r="29" spans="1:27" x14ac:dyDescent="0.25">
      <c r="B29" s="272">
        <v>2520</v>
      </c>
      <c r="C29" s="273">
        <v>1.2</v>
      </c>
      <c r="D29" s="273">
        <v>0.81900000000000006</v>
      </c>
      <c r="E29" s="273">
        <v>0.82250000000000001</v>
      </c>
      <c r="F29" s="273">
        <v>0.49300000000000005</v>
      </c>
      <c r="G29" s="273">
        <v>0.20624999999999999</v>
      </c>
      <c r="H29" s="273">
        <v>0.19500000000000001</v>
      </c>
      <c r="I29" s="273">
        <v>0.21000000000000002</v>
      </c>
      <c r="J29" s="273">
        <v>0.44999999999999996</v>
      </c>
      <c r="K29" s="274">
        <v>0.75600000000000001</v>
      </c>
      <c r="M29" s="286" t="s">
        <v>369</v>
      </c>
      <c r="N29" s="288">
        <v>1.03</v>
      </c>
      <c r="Y29" s="190"/>
      <c r="Z29" s="190"/>
      <c r="AA29" s="190"/>
    </row>
    <row r="30" spans="1:27" x14ac:dyDescent="0.25">
      <c r="B30" s="275">
        <v>2940</v>
      </c>
      <c r="C30" s="276">
        <v>1.4</v>
      </c>
      <c r="D30" s="276">
        <v>0.747</v>
      </c>
      <c r="E30" s="276">
        <v>0.79900000000000004</v>
      </c>
      <c r="F30" s="276">
        <v>0.47850000000000009</v>
      </c>
      <c r="G30" s="276">
        <v>0.1925</v>
      </c>
      <c r="H30" s="276">
        <v>0.18200000000000002</v>
      </c>
      <c r="I30" s="276">
        <v>0.19600000000000004</v>
      </c>
      <c r="J30" s="276">
        <v>0.40500000000000003</v>
      </c>
      <c r="K30" s="277">
        <v>0.57600000000000007</v>
      </c>
      <c r="M30" s="267" t="s">
        <v>351</v>
      </c>
    </row>
    <row r="31" spans="1:27" x14ac:dyDescent="0.25">
      <c r="B31" s="272">
        <v>3360</v>
      </c>
      <c r="C31" s="273">
        <v>1.6</v>
      </c>
      <c r="D31" s="273">
        <v>0.57600000000000007</v>
      </c>
      <c r="E31" s="273">
        <v>0.5757500000000001</v>
      </c>
      <c r="F31" s="273">
        <v>0.435</v>
      </c>
      <c r="G31" s="273">
        <v>0.17874999999999999</v>
      </c>
      <c r="H31" s="273">
        <v>0.16899999999999998</v>
      </c>
      <c r="I31" s="273">
        <v>0.16800000000000001</v>
      </c>
      <c r="J31" s="273">
        <v>0.375</v>
      </c>
      <c r="K31" s="274">
        <v>0.54</v>
      </c>
    </row>
    <row r="32" spans="1:27" x14ac:dyDescent="0.25">
      <c r="B32" s="275">
        <v>3780</v>
      </c>
      <c r="C32" s="276">
        <v>1.8</v>
      </c>
      <c r="D32" s="276">
        <v>0.46800000000000003</v>
      </c>
      <c r="E32" s="276">
        <v>0.55225000000000002</v>
      </c>
      <c r="F32" s="276">
        <v>0.34799999999999998</v>
      </c>
      <c r="G32" s="276">
        <v>0.16499999999999998</v>
      </c>
      <c r="H32" s="276">
        <v>0.16899999999999998</v>
      </c>
      <c r="I32" s="276">
        <v>0.16800000000000001</v>
      </c>
      <c r="J32" s="276">
        <v>0.34500000000000003</v>
      </c>
      <c r="K32" s="277">
        <v>0.46800000000000003</v>
      </c>
      <c r="M32" s="286" t="s">
        <v>369</v>
      </c>
      <c r="N32" s="288">
        <v>0.80182982449824469</v>
      </c>
    </row>
    <row r="33" spans="1:21" ht="13" thickBot="1" x14ac:dyDescent="0.3">
      <c r="B33" s="289">
        <v>4200</v>
      </c>
      <c r="C33" s="290">
        <v>2</v>
      </c>
      <c r="D33" s="290">
        <v>0.35100000000000003</v>
      </c>
      <c r="E33" s="290">
        <v>0.45825000000000005</v>
      </c>
      <c r="F33" s="290">
        <v>0.34799999999999998</v>
      </c>
      <c r="G33" s="290">
        <v>0.15125</v>
      </c>
      <c r="H33" s="290">
        <v>0.156</v>
      </c>
      <c r="I33" s="290">
        <v>0.16800000000000001</v>
      </c>
      <c r="J33" s="290">
        <v>0.3</v>
      </c>
      <c r="K33" s="291">
        <v>0.39600000000000002</v>
      </c>
      <c r="M33" s="267" t="s">
        <v>370</v>
      </c>
    </row>
    <row r="34" spans="1:21" x14ac:dyDescent="0.25">
      <c r="L34" s="292" t="s">
        <v>342</v>
      </c>
      <c r="M34" s="293" t="s">
        <v>343</v>
      </c>
      <c r="N34" s="294">
        <v>1.0473414870636766</v>
      </c>
    </row>
    <row r="35" spans="1:21" x14ac:dyDescent="0.25">
      <c r="B35" s="265" t="s">
        <v>354</v>
      </c>
      <c r="L35" s="295" t="s">
        <v>348</v>
      </c>
      <c r="M35" s="296" t="s">
        <v>349</v>
      </c>
      <c r="N35" s="297">
        <v>0.9716373261423854</v>
      </c>
    </row>
    <row r="36" spans="1:21" ht="13" thickBot="1" x14ac:dyDescent="0.3">
      <c r="L36" s="298" t="s">
        <v>345</v>
      </c>
      <c r="M36" s="299" t="s">
        <v>346</v>
      </c>
      <c r="N36" s="300">
        <v>1</v>
      </c>
    </row>
    <row r="37" spans="1:21" x14ac:dyDescent="0.25">
      <c r="N37" s="302"/>
    </row>
    <row r="38" spans="1:21" x14ac:dyDescent="0.25">
      <c r="A38" s="318" t="s">
        <v>353</v>
      </c>
      <c r="N38" s="302"/>
    </row>
    <row r="39" spans="1:21" x14ac:dyDescent="0.25">
      <c r="N39" s="302"/>
      <c r="P39" s="380" t="s">
        <v>356</v>
      </c>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1.1519999999999999</v>
      </c>
      <c r="E41" s="273">
        <v>1.17</v>
      </c>
      <c r="F41" s="273">
        <v>0.96799999999999997</v>
      </c>
      <c r="G41" s="273">
        <v>0.75199999999999989</v>
      </c>
      <c r="H41" s="273">
        <v>0.51200000000000001</v>
      </c>
      <c r="I41" s="273">
        <v>0.77350000000000008</v>
      </c>
      <c r="J41" s="273">
        <v>1.071</v>
      </c>
      <c r="K41" s="274">
        <v>1.2389999999999999</v>
      </c>
      <c r="M41" s="304" t="s">
        <v>334</v>
      </c>
      <c r="N41" s="271" t="s">
        <v>335</v>
      </c>
      <c r="P41" s="304" t="s">
        <v>336</v>
      </c>
      <c r="Q41" s="271" t="s">
        <v>337</v>
      </c>
      <c r="S41" s="190"/>
      <c r="T41" s="190"/>
      <c r="U41" s="190"/>
    </row>
    <row r="42" spans="1:21" x14ac:dyDescent="0.25">
      <c r="B42" s="275">
        <v>105</v>
      </c>
      <c r="C42" s="308">
        <v>0.05</v>
      </c>
      <c r="D42" s="276">
        <v>0.996</v>
      </c>
      <c r="E42" s="276">
        <v>1.05</v>
      </c>
      <c r="F42" s="276">
        <v>0.88</v>
      </c>
      <c r="G42" s="276">
        <v>0.66399999999999992</v>
      </c>
      <c r="H42" s="276">
        <v>0.432</v>
      </c>
      <c r="I42" s="276">
        <v>0.68850000000000011</v>
      </c>
      <c r="J42" s="276">
        <v>0.98099999999999998</v>
      </c>
      <c r="K42" s="277">
        <v>1.1235000000000002</v>
      </c>
      <c r="M42" s="278" t="s">
        <v>338</v>
      </c>
      <c r="N42" s="284">
        <v>0.4</v>
      </c>
      <c r="P42" s="278" t="s">
        <v>339</v>
      </c>
      <c r="Q42" s="280">
        <v>7.5038702786269285E-2</v>
      </c>
      <c r="S42" s="190"/>
      <c r="T42" s="190"/>
      <c r="U42" s="190"/>
    </row>
    <row r="43" spans="1:21" x14ac:dyDescent="0.25">
      <c r="B43" s="272">
        <v>210</v>
      </c>
      <c r="C43" s="307">
        <v>0.1</v>
      </c>
      <c r="D43" s="273">
        <v>0.91200000000000003</v>
      </c>
      <c r="E43" s="273">
        <v>0.97</v>
      </c>
      <c r="F43" s="273">
        <v>0.83199999999999996</v>
      </c>
      <c r="G43" s="273">
        <v>0.64</v>
      </c>
      <c r="H43" s="273">
        <v>0.40800000000000003</v>
      </c>
      <c r="I43" s="273">
        <v>0.64600000000000013</v>
      </c>
      <c r="J43" s="273">
        <v>0.92700000000000005</v>
      </c>
      <c r="K43" s="274">
        <v>1.0289999999999999</v>
      </c>
      <c r="M43" s="281" t="s">
        <v>340</v>
      </c>
      <c r="N43" s="285">
        <v>1.3</v>
      </c>
      <c r="P43" s="281" t="s">
        <v>341</v>
      </c>
      <c r="Q43" s="283">
        <v>7.7844298428481729E-2</v>
      </c>
      <c r="S43" s="190"/>
      <c r="T43" s="190"/>
      <c r="U43" s="190"/>
    </row>
    <row r="44" spans="1:21" x14ac:dyDescent="0.25">
      <c r="B44" s="275">
        <v>420</v>
      </c>
      <c r="C44" s="308">
        <v>0.2</v>
      </c>
      <c r="D44" s="276">
        <v>0.74399999999999999</v>
      </c>
      <c r="E44" s="276">
        <v>0.84999999999999987</v>
      </c>
      <c r="F44" s="276">
        <v>0.74400000000000011</v>
      </c>
      <c r="G44" s="276">
        <v>0.55999999999999994</v>
      </c>
      <c r="H44" s="276">
        <v>0.36</v>
      </c>
      <c r="I44" s="276">
        <v>0.57800000000000007</v>
      </c>
      <c r="J44" s="276">
        <v>0.81900000000000006</v>
      </c>
      <c r="K44" s="277">
        <v>0.90300000000000002</v>
      </c>
      <c r="L44" s="266" t="s">
        <v>342</v>
      </c>
      <c r="M44" s="278" t="s">
        <v>343</v>
      </c>
      <c r="N44" s="284">
        <v>1</v>
      </c>
      <c r="P44" s="278" t="s">
        <v>344</v>
      </c>
      <c r="Q44" s="280">
        <v>7.8883407925597449E-2</v>
      </c>
      <c r="S44" s="190"/>
      <c r="T44" s="190"/>
      <c r="U44" s="190"/>
    </row>
    <row r="45" spans="1:21" x14ac:dyDescent="0.25">
      <c r="B45" s="272">
        <v>840</v>
      </c>
      <c r="C45" s="307">
        <v>0.4</v>
      </c>
      <c r="D45" s="273">
        <v>0.48</v>
      </c>
      <c r="E45" s="273">
        <v>0.65</v>
      </c>
      <c r="F45" s="273">
        <v>0.60799999999999998</v>
      </c>
      <c r="G45" s="273">
        <v>0.46399999999999991</v>
      </c>
      <c r="H45" s="273">
        <v>0.30399999999999999</v>
      </c>
      <c r="I45" s="273">
        <v>0.46750000000000008</v>
      </c>
      <c r="J45" s="273">
        <v>0.66600000000000004</v>
      </c>
      <c r="K45" s="274">
        <v>0.67199999999999993</v>
      </c>
      <c r="L45" s="266" t="s">
        <v>345</v>
      </c>
      <c r="M45" s="281" t="s">
        <v>346</v>
      </c>
      <c r="N45" s="285">
        <v>1</v>
      </c>
      <c r="P45" s="286" t="s">
        <v>347</v>
      </c>
      <c r="Q45" s="287">
        <v>7.9268263294899569E-2</v>
      </c>
      <c r="S45" s="190"/>
      <c r="T45" s="190"/>
      <c r="U45" s="190"/>
    </row>
    <row r="46" spans="1:21" x14ac:dyDescent="0.25">
      <c r="B46" s="275">
        <v>1260</v>
      </c>
      <c r="C46" s="308">
        <v>0.6</v>
      </c>
      <c r="D46" s="276">
        <v>0.38400000000000001</v>
      </c>
      <c r="E46" s="276">
        <v>0.51</v>
      </c>
      <c r="F46" s="276">
        <v>0.52</v>
      </c>
      <c r="G46" s="276">
        <v>0.39999999999999991</v>
      </c>
      <c r="H46" s="276">
        <v>0.26400000000000001</v>
      </c>
      <c r="I46" s="276">
        <v>0.39950000000000002</v>
      </c>
      <c r="J46" s="276">
        <v>0.56699999999999995</v>
      </c>
      <c r="K46" s="277">
        <v>0.53549999999999998</v>
      </c>
      <c r="L46" s="266" t="s">
        <v>348</v>
      </c>
      <c r="M46" s="309" t="s">
        <v>349</v>
      </c>
      <c r="N46" s="310">
        <v>0.85</v>
      </c>
      <c r="S46" s="190"/>
      <c r="T46" s="190"/>
      <c r="U46" s="190"/>
    </row>
    <row r="47" spans="1:21" x14ac:dyDescent="0.25">
      <c r="B47" s="272">
        <v>1680</v>
      </c>
      <c r="C47" s="307">
        <v>0.8</v>
      </c>
      <c r="D47" s="273">
        <v>0.33600000000000002</v>
      </c>
      <c r="E47" s="273">
        <v>0.4</v>
      </c>
      <c r="F47" s="273">
        <v>0.43200000000000005</v>
      </c>
      <c r="G47" s="273">
        <v>0.35199999999999998</v>
      </c>
      <c r="H47" s="273">
        <v>0.22400000000000003</v>
      </c>
      <c r="I47" s="273">
        <v>0.34849999999999998</v>
      </c>
      <c r="J47" s="273">
        <v>0.47700000000000004</v>
      </c>
      <c r="K47" s="274">
        <v>0.42</v>
      </c>
      <c r="S47" s="190"/>
      <c r="T47" s="190"/>
      <c r="U47" s="190"/>
    </row>
    <row r="48" spans="1:21" ht="13" thickBot="1" x14ac:dyDescent="0.3">
      <c r="B48" s="275">
        <v>2100</v>
      </c>
      <c r="C48" s="308">
        <v>1</v>
      </c>
      <c r="D48" s="276">
        <v>0.3</v>
      </c>
      <c r="E48" s="276">
        <v>0.33</v>
      </c>
      <c r="F48" s="276">
        <v>0.38400000000000001</v>
      </c>
      <c r="G48" s="276">
        <v>0.29599999999999999</v>
      </c>
      <c r="H48" s="276">
        <v>0.2</v>
      </c>
      <c r="I48" s="276">
        <v>0.29749999999999999</v>
      </c>
      <c r="J48" s="276">
        <v>0.39600000000000002</v>
      </c>
      <c r="K48" s="277">
        <v>0.33599999999999997</v>
      </c>
      <c r="M48" s="267" t="s">
        <v>357</v>
      </c>
      <c r="S48" s="190"/>
      <c r="T48" s="190"/>
      <c r="U48" s="190"/>
    </row>
    <row r="49" spans="1:27" x14ac:dyDescent="0.25">
      <c r="B49" s="272">
        <v>2520</v>
      </c>
      <c r="C49" s="307">
        <v>1.2</v>
      </c>
      <c r="D49" s="273">
        <v>0.26400000000000001</v>
      </c>
      <c r="E49" s="273">
        <v>0.28000000000000003</v>
      </c>
      <c r="F49" s="273">
        <v>0.32799999999999996</v>
      </c>
      <c r="G49" s="273">
        <v>0.27199999999999996</v>
      </c>
      <c r="H49" s="273">
        <v>0.184</v>
      </c>
      <c r="I49" s="273">
        <v>0.26350000000000001</v>
      </c>
      <c r="J49" s="273">
        <v>0.34200000000000003</v>
      </c>
      <c r="K49" s="274">
        <v>0.28350000000000003</v>
      </c>
      <c r="L49" s="292" t="s">
        <v>342</v>
      </c>
      <c r="M49" s="293" t="s">
        <v>343</v>
      </c>
      <c r="N49" s="294">
        <v>1</v>
      </c>
      <c r="S49" s="190"/>
      <c r="T49" s="190"/>
      <c r="U49" s="190"/>
    </row>
    <row r="50" spans="1:27" x14ac:dyDescent="0.25">
      <c r="B50" s="275">
        <v>2940</v>
      </c>
      <c r="C50" s="308">
        <v>1.4</v>
      </c>
      <c r="D50" s="276">
        <v>0.22800000000000001</v>
      </c>
      <c r="E50" s="276">
        <v>0.23</v>
      </c>
      <c r="F50" s="276">
        <v>0.28799999999999998</v>
      </c>
      <c r="G50" s="276">
        <v>0.24</v>
      </c>
      <c r="H50" s="276">
        <v>0.16800000000000001</v>
      </c>
      <c r="I50" s="276">
        <v>0.23800000000000004</v>
      </c>
      <c r="J50" s="276">
        <v>0.29699999999999999</v>
      </c>
      <c r="K50" s="277">
        <v>0.252</v>
      </c>
      <c r="L50" s="295" t="s">
        <v>348</v>
      </c>
      <c r="M50" s="296" t="s">
        <v>349</v>
      </c>
      <c r="N50" s="297">
        <v>0.85</v>
      </c>
      <c r="T50" s="333"/>
    </row>
    <row r="51" spans="1:27" ht="13" thickBot="1" x14ac:dyDescent="0.3">
      <c r="B51" s="272">
        <v>3360</v>
      </c>
      <c r="C51" s="307">
        <v>1.6</v>
      </c>
      <c r="D51" s="273">
        <v>0.21599999999999997</v>
      </c>
      <c r="E51" s="273">
        <v>0.21</v>
      </c>
      <c r="F51" s="273">
        <v>0.26400000000000001</v>
      </c>
      <c r="G51" s="273">
        <v>0.216</v>
      </c>
      <c r="H51" s="273">
        <v>0.16</v>
      </c>
      <c r="I51" s="273">
        <v>0.221</v>
      </c>
      <c r="J51" s="273">
        <v>0.27900000000000003</v>
      </c>
      <c r="K51" s="274">
        <v>0.22049999999999997</v>
      </c>
      <c r="L51" s="298" t="s">
        <v>345</v>
      </c>
      <c r="M51" s="299" t="s">
        <v>346</v>
      </c>
      <c r="N51" s="300">
        <v>1</v>
      </c>
    </row>
    <row r="52" spans="1:27" x14ac:dyDescent="0.25">
      <c r="B52" s="275">
        <v>3780</v>
      </c>
      <c r="C52" s="308">
        <v>1.8</v>
      </c>
      <c r="D52" s="276">
        <v>0.20399999999999999</v>
      </c>
      <c r="E52" s="276">
        <v>0.2</v>
      </c>
      <c r="F52" s="276">
        <v>0.22400000000000003</v>
      </c>
      <c r="G52" s="276">
        <v>0.19199999999999995</v>
      </c>
      <c r="H52" s="276">
        <v>0.14400000000000002</v>
      </c>
      <c r="I52" s="276">
        <v>0.20400000000000001</v>
      </c>
      <c r="J52" s="276">
        <v>0.24300000000000002</v>
      </c>
      <c r="K52" s="277">
        <v>0.19950000000000001</v>
      </c>
      <c r="L52" s="190"/>
      <c r="M52" s="190"/>
      <c r="N52" s="190"/>
    </row>
    <row r="53" spans="1:27" x14ac:dyDescent="0.25">
      <c r="B53" s="289">
        <v>4200</v>
      </c>
      <c r="C53" s="311">
        <v>2</v>
      </c>
      <c r="D53" s="290">
        <v>0.192</v>
      </c>
      <c r="E53" s="290">
        <v>0.19</v>
      </c>
      <c r="F53" s="290">
        <v>0.21600000000000003</v>
      </c>
      <c r="G53" s="290">
        <v>0.184</v>
      </c>
      <c r="H53" s="290">
        <v>0.14400000000000002</v>
      </c>
      <c r="I53" s="290">
        <v>0.17850000000000002</v>
      </c>
      <c r="J53" s="290">
        <v>0.22500000000000001</v>
      </c>
      <c r="K53" s="291">
        <v>0.189</v>
      </c>
      <c r="L53" s="190"/>
      <c r="M53" s="190"/>
      <c r="N53" s="190"/>
    </row>
    <row r="54" spans="1:27" x14ac:dyDescent="0.25">
      <c r="L54" s="190"/>
      <c r="M54" s="190"/>
      <c r="N54" s="190"/>
    </row>
    <row r="55" spans="1:27" x14ac:dyDescent="0.25">
      <c r="A55" s="319"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1.8720000000000001</v>
      </c>
      <c r="E58" s="273">
        <v>1.4263333333333335</v>
      </c>
      <c r="F58" s="273">
        <v>1.2035</v>
      </c>
      <c r="G58" s="273">
        <v>0.75116666666666654</v>
      </c>
      <c r="H58" s="273">
        <v>0.52499999999999991</v>
      </c>
      <c r="I58" s="273">
        <v>0.92500000000000004</v>
      </c>
      <c r="J58" s="273">
        <v>1.125</v>
      </c>
      <c r="K58" s="274">
        <v>1.623</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1.8089999999999999</v>
      </c>
      <c r="E59" s="276">
        <v>1.3650797546012272</v>
      </c>
      <c r="F59" s="276">
        <v>1.1165</v>
      </c>
      <c r="G59" s="276">
        <v>0.63256140350877177</v>
      </c>
      <c r="H59" s="276">
        <v>0.43499999999999989</v>
      </c>
      <c r="I59" s="276">
        <v>0.77894736842105261</v>
      </c>
      <c r="J59" s="276">
        <v>1.0349999999999999</v>
      </c>
      <c r="K59" s="277">
        <v>1.5580799999999999</v>
      </c>
      <c r="M59" s="278" t="s">
        <v>338</v>
      </c>
      <c r="N59" s="284">
        <v>1</v>
      </c>
      <c r="P59" s="312">
        <v>1.3</v>
      </c>
      <c r="Q59" s="313">
        <v>1.1000000000000001</v>
      </c>
      <c r="R59" s="313">
        <v>0.9</v>
      </c>
      <c r="S59" s="313">
        <v>0.9</v>
      </c>
      <c r="T59" s="313">
        <v>0.9</v>
      </c>
      <c r="U59" s="313">
        <v>0.9</v>
      </c>
      <c r="V59" s="313">
        <v>0.9</v>
      </c>
      <c r="W59" s="310">
        <v>1.1000000000000001</v>
      </c>
      <c r="Y59" s="190"/>
      <c r="Z59" s="190"/>
      <c r="AA59" s="190"/>
    </row>
    <row r="60" spans="1:27" x14ac:dyDescent="0.25">
      <c r="B60" s="272">
        <v>210</v>
      </c>
      <c r="C60" s="307">
        <v>0.1</v>
      </c>
      <c r="D60" s="273">
        <v>1.8089999999999999</v>
      </c>
      <c r="E60" s="273">
        <v>1.338828220858896</v>
      </c>
      <c r="F60" s="273">
        <v>1.0585</v>
      </c>
      <c r="G60" s="273">
        <v>0.59302631578947362</v>
      </c>
      <c r="H60" s="273">
        <v>0.42</v>
      </c>
      <c r="I60" s="273">
        <v>0.73026315789473684</v>
      </c>
      <c r="J60" s="273">
        <v>0.99</v>
      </c>
      <c r="K60" s="274">
        <v>1.52562</v>
      </c>
      <c r="M60" s="281" t="s">
        <v>340</v>
      </c>
      <c r="N60" s="285">
        <v>1.1000000000000001</v>
      </c>
      <c r="O60" s="267" t="s">
        <v>364</v>
      </c>
      <c r="P60" s="302">
        <v>1.04</v>
      </c>
      <c r="Q60" s="302">
        <v>0.88000000000000012</v>
      </c>
      <c r="R60" s="302">
        <v>0.72000000000000008</v>
      </c>
      <c r="S60" s="302">
        <v>0.72000000000000008</v>
      </c>
      <c r="T60" s="302">
        <v>0.72000000000000008</v>
      </c>
      <c r="U60" s="302">
        <v>0.72000000000000008</v>
      </c>
      <c r="V60" s="302">
        <v>0.72000000000000008</v>
      </c>
      <c r="W60" s="302">
        <v>0.88000000000000012</v>
      </c>
      <c r="Y60" s="190"/>
      <c r="Z60" s="190"/>
      <c r="AA60" s="190"/>
    </row>
    <row r="61" spans="1:27" x14ac:dyDescent="0.25">
      <c r="B61" s="275">
        <v>420</v>
      </c>
      <c r="C61" s="308">
        <v>0.2</v>
      </c>
      <c r="D61" s="276">
        <v>1.7009999999999998</v>
      </c>
      <c r="E61" s="276">
        <v>1.2513231083844583</v>
      </c>
      <c r="F61" s="276">
        <v>0.9860000000000001</v>
      </c>
      <c r="G61" s="276">
        <v>0.53372368421052618</v>
      </c>
      <c r="H61" s="276">
        <v>0.37499999999999994</v>
      </c>
      <c r="I61" s="276">
        <v>0.65723684210526323</v>
      </c>
      <c r="J61" s="276">
        <v>0.89999999999999991</v>
      </c>
      <c r="K61" s="277">
        <v>1.3849600000000002</v>
      </c>
      <c r="M61" s="278" t="s">
        <v>365</v>
      </c>
      <c r="N61" s="284">
        <v>0.8</v>
      </c>
      <c r="Y61" s="190"/>
      <c r="Z61" s="190"/>
      <c r="AA61" s="190"/>
    </row>
    <row r="62" spans="1:27" x14ac:dyDescent="0.25">
      <c r="B62" s="272">
        <v>840</v>
      </c>
      <c r="C62" s="307">
        <v>0.4</v>
      </c>
      <c r="D62" s="273">
        <v>1.4580000000000002</v>
      </c>
      <c r="E62" s="273">
        <v>1.0850633946830268</v>
      </c>
      <c r="F62" s="273">
        <v>0.84100000000000008</v>
      </c>
      <c r="G62" s="273">
        <v>0.45465350877192973</v>
      </c>
      <c r="H62" s="273">
        <v>0.31499999999999995</v>
      </c>
      <c r="I62" s="273">
        <v>0.55986842105263157</v>
      </c>
      <c r="J62" s="273">
        <v>0.75</v>
      </c>
      <c r="K62" s="274">
        <v>1.2226599999999999</v>
      </c>
      <c r="M62" s="281" t="s">
        <v>366</v>
      </c>
      <c r="N62" s="285">
        <v>0.5</v>
      </c>
      <c r="P62" s="380" t="s">
        <v>373</v>
      </c>
      <c r="Y62" s="190"/>
      <c r="Z62" s="190"/>
      <c r="AA62" s="190"/>
    </row>
    <row r="63" spans="1:27" ht="13" thickBot="1" x14ac:dyDescent="0.3">
      <c r="B63" s="275">
        <v>1260</v>
      </c>
      <c r="C63" s="308">
        <v>0.6</v>
      </c>
      <c r="D63" s="276">
        <v>1.3410000000000002</v>
      </c>
      <c r="E63" s="276">
        <v>0.95380572597137037</v>
      </c>
      <c r="F63" s="276">
        <v>0.72500000000000009</v>
      </c>
      <c r="G63" s="276">
        <v>0.39535087719298234</v>
      </c>
      <c r="H63" s="276">
        <v>0.28499999999999998</v>
      </c>
      <c r="I63" s="276">
        <v>0.48684210526315791</v>
      </c>
      <c r="J63" s="276">
        <v>0.66</v>
      </c>
      <c r="K63" s="277">
        <v>1.0387200000000001</v>
      </c>
      <c r="L63" s="266" t="s">
        <v>342</v>
      </c>
      <c r="M63" s="278" t="s">
        <v>343</v>
      </c>
      <c r="N63" s="284">
        <v>1.0473414870636766</v>
      </c>
      <c r="Y63" s="190"/>
      <c r="Z63" s="190"/>
      <c r="AA63" s="190"/>
    </row>
    <row r="64" spans="1:27" ht="13.5" thickBot="1" x14ac:dyDescent="0.3">
      <c r="B64" s="272">
        <v>1680</v>
      </c>
      <c r="C64" s="307">
        <v>0.8</v>
      </c>
      <c r="D64" s="273">
        <v>1.143</v>
      </c>
      <c r="E64" s="273">
        <v>0.82254805725971381</v>
      </c>
      <c r="F64" s="273">
        <v>0.63800000000000001</v>
      </c>
      <c r="G64" s="273">
        <v>0.35581578947368414</v>
      </c>
      <c r="H64" s="273">
        <v>0.255</v>
      </c>
      <c r="I64" s="273">
        <v>0.43815789473684208</v>
      </c>
      <c r="J64" s="273">
        <v>0.58499999999999996</v>
      </c>
      <c r="K64" s="274">
        <v>0.89805999999999997</v>
      </c>
      <c r="L64" s="266" t="s">
        <v>345</v>
      </c>
      <c r="M64" s="281" t="s">
        <v>346</v>
      </c>
      <c r="N64" s="285">
        <v>1</v>
      </c>
      <c r="P64" s="320" t="s">
        <v>374</v>
      </c>
      <c r="Y64" s="190"/>
      <c r="Z64" s="190"/>
      <c r="AA64" s="190"/>
    </row>
    <row r="65" spans="2:27" ht="13.5" thickBot="1" x14ac:dyDescent="0.3">
      <c r="B65" s="275">
        <v>2100</v>
      </c>
      <c r="C65" s="308">
        <v>1</v>
      </c>
      <c r="D65" s="276">
        <v>1.0439999999999998</v>
      </c>
      <c r="E65" s="276">
        <v>0.72629243353783246</v>
      </c>
      <c r="F65" s="276">
        <v>0.59450000000000003</v>
      </c>
      <c r="G65" s="276">
        <v>0.31628070175438588</v>
      </c>
      <c r="H65" s="276">
        <v>0.24</v>
      </c>
      <c r="I65" s="276">
        <v>0.38947368421052631</v>
      </c>
      <c r="J65" s="276">
        <v>0.51</v>
      </c>
      <c r="K65" s="277">
        <v>0.76822000000000001</v>
      </c>
      <c r="L65" s="266" t="s">
        <v>348</v>
      </c>
      <c r="M65" s="309" t="s">
        <v>349</v>
      </c>
      <c r="N65" s="310">
        <v>0.9716373261423854</v>
      </c>
      <c r="P65" s="321">
        <v>7.96</v>
      </c>
      <c r="Q65" s="267" t="s">
        <v>533</v>
      </c>
      <c r="Y65" s="190"/>
      <c r="Z65" s="190"/>
      <c r="AA65" s="190"/>
    </row>
    <row r="66" spans="2:27" x14ac:dyDescent="0.25">
      <c r="B66" s="272">
        <v>2520</v>
      </c>
      <c r="C66" s="307">
        <v>1.2</v>
      </c>
      <c r="D66" s="273">
        <v>0.81900000000000006</v>
      </c>
      <c r="E66" s="273">
        <v>0.61253578732106351</v>
      </c>
      <c r="F66" s="273">
        <v>0.49300000000000005</v>
      </c>
      <c r="G66" s="273">
        <v>0.29651315789473681</v>
      </c>
      <c r="H66" s="273">
        <v>0.22499999999999998</v>
      </c>
      <c r="I66" s="273">
        <v>0.36513157894736842</v>
      </c>
      <c r="J66" s="273">
        <v>0.44999999999999996</v>
      </c>
      <c r="K66" s="274">
        <v>0.68165999999999993</v>
      </c>
      <c r="Y66" s="190"/>
      <c r="Z66" s="190"/>
      <c r="AA66" s="190"/>
    </row>
    <row r="67" spans="2:27" ht="13" thickBot="1" x14ac:dyDescent="0.3">
      <c r="B67" s="275">
        <v>2940</v>
      </c>
      <c r="C67" s="308">
        <v>1.4</v>
      </c>
      <c r="D67" s="276">
        <v>0.747</v>
      </c>
      <c r="E67" s="276">
        <v>0.59503476482617601</v>
      </c>
      <c r="F67" s="276">
        <v>0.47850000000000009</v>
      </c>
      <c r="G67" s="276">
        <v>0.27674561403508768</v>
      </c>
      <c r="H67" s="276">
        <v>0.21</v>
      </c>
      <c r="I67" s="276">
        <v>0.34078947368421059</v>
      </c>
      <c r="J67" s="276">
        <v>0.40500000000000003</v>
      </c>
      <c r="K67" s="277">
        <v>0.51936000000000004</v>
      </c>
      <c r="M67" s="267" t="s">
        <v>375</v>
      </c>
      <c r="Y67" s="190"/>
      <c r="Z67" s="190"/>
      <c r="AA67" s="190"/>
    </row>
    <row r="68" spans="2:27" x14ac:dyDescent="0.25">
      <c r="B68" s="272">
        <v>3360</v>
      </c>
      <c r="C68" s="307">
        <v>1.6</v>
      </c>
      <c r="D68" s="273">
        <v>0.57600000000000007</v>
      </c>
      <c r="E68" s="273">
        <v>0.42877505112474446</v>
      </c>
      <c r="F68" s="273">
        <v>0.435</v>
      </c>
      <c r="G68" s="273">
        <v>0.25697807017543856</v>
      </c>
      <c r="H68" s="273">
        <v>0.19499999999999998</v>
      </c>
      <c r="I68" s="273">
        <v>0.29210526315789476</v>
      </c>
      <c r="J68" s="273">
        <v>0.375</v>
      </c>
      <c r="K68" s="274">
        <v>0.4869</v>
      </c>
      <c r="L68" s="292" t="s">
        <v>342</v>
      </c>
      <c r="M68" s="293" t="s">
        <v>340</v>
      </c>
      <c r="N68" s="294">
        <v>1.0473414870636766</v>
      </c>
      <c r="Y68" s="190"/>
      <c r="Z68" s="190"/>
      <c r="AA68" s="190"/>
    </row>
    <row r="69" spans="2:27" x14ac:dyDescent="0.25">
      <c r="B69" s="275">
        <v>3780</v>
      </c>
      <c r="C69" s="308">
        <v>1.8</v>
      </c>
      <c r="D69" s="276">
        <v>0.46800000000000003</v>
      </c>
      <c r="E69" s="276">
        <v>0.4112740286298569</v>
      </c>
      <c r="F69" s="276">
        <v>0.34799999999999998</v>
      </c>
      <c r="G69" s="276">
        <v>0.23721052631578943</v>
      </c>
      <c r="H69" s="276">
        <v>0.19499999999999998</v>
      </c>
      <c r="I69" s="276">
        <v>0.29210526315789476</v>
      </c>
      <c r="J69" s="276">
        <v>0.34500000000000003</v>
      </c>
      <c r="K69" s="277">
        <v>0.42198000000000002</v>
      </c>
      <c r="L69" s="295" t="s">
        <v>348</v>
      </c>
      <c r="M69" s="296" t="s">
        <v>366</v>
      </c>
      <c r="N69" s="297">
        <v>0.9716373261423854</v>
      </c>
    </row>
    <row r="70" spans="2:27" ht="13" thickBot="1" x14ac:dyDescent="0.3">
      <c r="B70" s="289">
        <v>4200</v>
      </c>
      <c r="C70" s="311">
        <v>2</v>
      </c>
      <c r="D70" s="290">
        <v>0.35100000000000003</v>
      </c>
      <c r="E70" s="290">
        <v>0.3412699386503068</v>
      </c>
      <c r="F70" s="290">
        <v>0.34799999999999998</v>
      </c>
      <c r="G70" s="290">
        <v>0.21744298245614033</v>
      </c>
      <c r="H70" s="290">
        <v>0.17999999999999997</v>
      </c>
      <c r="I70" s="290">
        <v>0.29210526315789476</v>
      </c>
      <c r="J70" s="290">
        <v>0.3</v>
      </c>
      <c r="K70" s="291">
        <v>0.35705999999999999</v>
      </c>
      <c r="L70" s="298" t="s">
        <v>345</v>
      </c>
      <c r="M70" s="299" t="s">
        <v>365</v>
      </c>
      <c r="N70" s="300">
        <v>1</v>
      </c>
    </row>
  </sheetData>
  <mergeCells count="4">
    <mergeCell ref="M55:N55"/>
    <mergeCell ref="M1:N1"/>
    <mergeCell ref="P1:Q1"/>
    <mergeCell ref="M18:N1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70"/>
  <sheetViews>
    <sheetView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358</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1.02</v>
      </c>
      <c r="E3" s="273">
        <v>1.6800000000000004</v>
      </c>
      <c r="F3" s="273">
        <v>2.16</v>
      </c>
      <c r="G3" s="273">
        <v>1.3920000000000001</v>
      </c>
      <c r="H3" s="273">
        <v>0.74800000000000011</v>
      </c>
      <c r="I3" s="273">
        <v>2.121</v>
      </c>
      <c r="J3" s="273">
        <v>3.9370000000000003</v>
      </c>
      <c r="K3" s="274">
        <v>2.4940000000000002</v>
      </c>
      <c r="S3" s="190"/>
      <c r="T3" s="190"/>
      <c r="U3" s="190"/>
    </row>
    <row r="4" spans="1:21" ht="13" x14ac:dyDescent="0.25">
      <c r="B4" s="275">
        <v>105</v>
      </c>
      <c r="C4" s="276">
        <v>0.05</v>
      </c>
      <c r="D4" s="276">
        <v>0.85200000000000009</v>
      </c>
      <c r="E4" s="276">
        <v>1.4850000000000001</v>
      </c>
      <c r="F4" s="276">
        <v>1.9620000000000004</v>
      </c>
      <c r="G4" s="276">
        <v>1.2325000000000002</v>
      </c>
      <c r="H4" s="276">
        <v>0.627</v>
      </c>
      <c r="I4" s="276">
        <v>1.8900000000000001</v>
      </c>
      <c r="J4" s="276">
        <v>3.5960000000000001</v>
      </c>
      <c r="K4" s="277">
        <v>2.2360000000000007</v>
      </c>
      <c r="M4" s="304" t="s">
        <v>334</v>
      </c>
      <c r="N4" s="271" t="s">
        <v>335</v>
      </c>
      <c r="P4" s="304" t="s">
        <v>336</v>
      </c>
      <c r="Q4" s="271" t="s">
        <v>337</v>
      </c>
      <c r="S4" s="190"/>
      <c r="T4" s="190"/>
      <c r="U4" s="190"/>
    </row>
    <row r="5" spans="1:21" x14ac:dyDescent="0.25">
      <c r="B5" s="272">
        <v>210</v>
      </c>
      <c r="C5" s="273">
        <v>0.1</v>
      </c>
      <c r="D5" s="273">
        <v>0.78</v>
      </c>
      <c r="E5" s="273">
        <v>1.35</v>
      </c>
      <c r="F5" s="273">
        <v>1.8360000000000003</v>
      </c>
      <c r="G5" s="273">
        <v>1.1455000000000002</v>
      </c>
      <c r="H5" s="273">
        <v>0.59400000000000008</v>
      </c>
      <c r="I5" s="273">
        <v>1.764</v>
      </c>
      <c r="J5" s="273">
        <v>3.3790000000000004</v>
      </c>
      <c r="K5" s="274">
        <v>2.0425000000000004</v>
      </c>
      <c r="M5" s="278" t="s">
        <v>338</v>
      </c>
      <c r="N5" s="279">
        <v>0.7</v>
      </c>
      <c r="P5" s="278" t="s">
        <v>339</v>
      </c>
      <c r="Q5" s="280">
        <v>0.1879170335479888</v>
      </c>
      <c r="S5" s="190"/>
      <c r="T5" s="190"/>
      <c r="U5" s="190"/>
    </row>
    <row r="6" spans="1:21" x14ac:dyDescent="0.25">
      <c r="B6" s="275">
        <v>420</v>
      </c>
      <c r="C6" s="276">
        <v>0.2</v>
      </c>
      <c r="D6" s="276">
        <v>0.62400000000000011</v>
      </c>
      <c r="E6" s="276">
        <v>1.1850000000000001</v>
      </c>
      <c r="F6" s="276">
        <v>1.62</v>
      </c>
      <c r="G6" s="276">
        <v>1.0150000000000001</v>
      </c>
      <c r="H6" s="276">
        <v>0.52800000000000002</v>
      </c>
      <c r="I6" s="276">
        <v>1.5329999999999999</v>
      </c>
      <c r="J6" s="276">
        <v>3.0380000000000003</v>
      </c>
      <c r="K6" s="277">
        <v>1.7845000000000002</v>
      </c>
      <c r="M6" s="281" t="s">
        <v>340</v>
      </c>
      <c r="N6" s="282">
        <v>1.1000000000000001</v>
      </c>
      <c r="P6" s="281" t="s">
        <v>341</v>
      </c>
      <c r="Q6" s="283">
        <v>0.19036399917634542</v>
      </c>
      <c r="S6" s="190"/>
      <c r="T6" s="190"/>
      <c r="U6" s="190"/>
    </row>
    <row r="7" spans="1:21" x14ac:dyDescent="0.25">
      <c r="B7" s="272">
        <v>840</v>
      </c>
      <c r="C7" s="273">
        <v>0.4</v>
      </c>
      <c r="D7" s="273">
        <v>0.46800000000000003</v>
      </c>
      <c r="E7" s="273">
        <v>0.90000000000000013</v>
      </c>
      <c r="F7" s="273">
        <v>1.3140000000000003</v>
      </c>
      <c r="G7" s="273">
        <v>0.82650000000000012</v>
      </c>
      <c r="H7" s="273">
        <v>0.42900000000000005</v>
      </c>
      <c r="I7" s="273">
        <v>1.2809999999999999</v>
      </c>
      <c r="J7" s="273">
        <v>2.4490000000000003</v>
      </c>
      <c r="K7" s="274">
        <v>1.3545000000000003</v>
      </c>
      <c r="L7" s="266" t="s">
        <v>342</v>
      </c>
      <c r="M7" s="278" t="s">
        <v>343</v>
      </c>
      <c r="N7" s="284">
        <v>1</v>
      </c>
      <c r="O7" s="267">
        <v>1.5216536440366144</v>
      </c>
      <c r="P7" s="278" t="s">
        <v>344</v>
      </c>
      <c r="Q7" s="280">
        <v>0.19444227522360641</v>
      </c>
      <c r="S7" s="190"/>
      <c r="T7" s="190"/>
      <c r="U7" s="190"/>
    </row>
    <row r="8" spans="1:21" x14ac:dyDescent="0.25">
      <c r="B8" s="275">
        <v>1260</v>
      </c>
      <c r="C8" s="276">
        <v>0.6</v>
      </c>
      <c r="D8" s="276">
        <v>0.40800000000000003</v>
      </c>
      <c r="E8" s="276">
        <v>0.69000000000000017</v>
      </c>
      <c r="F8" s="276">
        <v>1.08</v>
      </c>
      <c r="G8" s="276">
        <v>0.69600000000000006</v>
      </c>
      <c r="H8" s="276">
        <v>0.36300000000000004</v>
      </c>
      <c r="I8" s="276">
        <v>1.05</v>
      </c>
      <c r="J8" s="276">
        <v>2.0459999999999998</v>
      </c>
      <c r="K8" s="277">
        <v>1.0535000000000001</v>
      </c>
      <c r="L8" s="266" t="s">
        <v>345</v>
      </c>
      <c r="M8" s="281" t="s">
        <v>346</v>
      </c>
      <c r="N8" s="285">
        <v>0.98</v>
      </c>
      <c r="O8" s="267">
        <v>1</v>
      </c>
      <c r="P8" s="286" t="s">
        <v>347</v>
      </c>
      <c r="Q8" s="287">
        <v>0.20123940196904144</v>
      </c>
      <c r="S8" s="190"/>
      <c r="T8" s="190"/>
      <c r="U8" s="190"/>
    </row>
    <row r="9" spans="1:21" x14ac:dyDescent="0.25">
      <c r="B9" s="272">
        <v>1680</v>
      </c>
      <c r="C9" s="273">
        <v>0.8</v>
      </c>
      <c r="D9" s="273">
        <v>0.36000000000000004</v>
      </c>
      <c r="E9" s="273">
        <v>0.55500000000000016</v>
      </c>
      <c r="F9" s="273">
        <v>0.90000000000000013</v>
      </c>
      <c r="G9" s="273">
        <v>0.59450000000000003</v>
      </c>
      <c r="H9" s="273">
        <v>0.31900000000000001</v>
      </c>
      <c r="I9" s="273">
        <v>0.90300000000000002</v>
      </c>
      <c r="J9" s="273">
        <v>1.6430000000000002</v>
      </c>
      <c r="K9" s="274">
        <v>0.8600000000000001</v>
      </c>
      <c r="L9" s="266" t="s">
        <v>348</v>
      </c>
      <c r="M9" s="278" t="s">
        <v>349</v>
      </c>
      <c r="N9" s="284">
        <v>0.92</v>
      </c>
      <c r="O9" s="267">
        <v>0.91782083240990842</v>
      </c>
      <c r="S9" s="190"/>
      <c r="T9" s="190"/>
      <c r="U9" s="190"/>
    </row>
    <row r="10" spans="1:21" x14ac:dyDescent="0.25">
      <c r="B10" s="275">
        <v>2100</v>
      </c>
      <c r="C10" s="276">
        <v>1</v>
      </c>
      <c r="D10" s="276">
        <v>0.3</v>
      </c>
      <c r="E10" s="276">
        <v>0.45000000000000007</v>
      </c>
      <c r="F10" s="276">
        <v>0.75600000000000001</v>
      </c>
      <c r="G10" s="276">
        <v>0.50750000000000006</v>
      </c>
      <c r="H10" s="276">
        <v>0.27500000000000002</v>
      </c>
      <c r="I10" s="276">
        <v>0.77700000000000002</v>
      </c>
      <c r="J10" s="276">
        <v>1.4569999999999999</v>
      </c>
      <c r="K10" s="277">
        <v>0.70950000000000013</v>
      </c>
      <c r="M10" s="286" t="s">
        <v>350</v>
      </c>
      <c r="N10" s="288">
        <v>0.89</v>
      </c>
      <c r="S10" s="190"/>
      <c r="T10" s="190"/>
      <c r="U10" s="190"/>
    </row>
    <row r="11" spans="1:21" x14ac:dyDescent="0.25">
      <c r="B11" s="272">
        <v>2520</v>
      </c>
      <c r="C11" s="273">
        <v>1.2</v>
      </c>
      <c r="D11" s="273">
        <v>0.27600000000000002</v>
      </c>
      <c r="E11" s="273">
        <v>0.4200000000000001</v>
      </c>
      <c r="F11" s="273">
        <v>0.66600000000000004</v>
      </c>
      <c r="G11" s="273">
        <v>0.44950000000000007</v>
      </c>
      <c r="H11" s="273">
        <v>0.253</v>
      </c>
      <c r="I11" s="273">
        <v>0.69300000000000006</v>
      </c>
      <c r="J11" s="273">
        <v>1.2090000000000001</v>
      </c>
      <c r="K11" s="274">
        <v>0.55900000000000016</v>
      </c>
      <c r="M11" s="267" t="s">
        <v>351</v>
      </c>
      <c r="S11" s="190"/>
      <c r="T11" s="190"/>
      <c r="U11" s="190"/>
    </row>
    <row r="12" spans="1:21" x14ac:dyDescent="0.25">
      <c r="B12" s="275">
        <v>2940</v>
      </c>
      <c r="C12" s="276">
        <v>1.4</v>
      </c>
      <c r="D12" s="276">
        <v>0.252</v>
      </c>
      <c r="E12" s="276">
        <v>0.34500000000000008</v>
      </c>
      <c r="F12" s="276">
        <v>0.57600000000000007</v>
      </c>
      <c r="G12" s="276">
        <v>0.42049999999999998</v>
      </c>
      <c r="H12" s="276">
        <v>0.22000000000000003</v>
      </c>
      <c r="I12" s="276">
        <v>0.60899999999999999</v>
      </c>
      <c r="J12" s="276">
        <v>1.0540000000000003</v>
      </c>
      <c r="K12" s="277">
        <v>0.51600000000000001</v>
      </c>
      <c r="S12" s="190"/>
      <c r="T12" s="190"/>
      <c r="U12" s="190"/>
    </row>
    <row r="13" spans="1:21" x14ac:dyDescent="0.25">
      <c r="B13" s="272">
        <v>3360</v>
      </c>
      <c r="C13" s="273">
        <v>1.6</v>
      </c>
      <c r="D13" s="273">
        <v>0.24000000000000002</v>
      </c>
      <c r="E13" s="273">
        <v>0.315</v>
      </c>
      <c r="F13" s="273">
        <v>0.54</v>
      </c>
      <c r="G13" s="273">
        <v>0.36250000000000004</v>
      </c>
      <c r="H13" s="273">
        <v>0.19799999999999998</v>
      </c>
      <c r="I13" s="273">
        <v>0.52500000000000002</v>
      </c>
      <c r="J13" s="273">
        <v>0.96099999999999997</v>
      </c>
      <c r="K13" s="274">
        <v>0.47300000000000009</v>
      </c>
      <c r="M13" s="286" t="s">
        <v>350</v>
      </c>
      <c r="N13" s="288">
        <v>0.89</v>
      </c>
      <c r="S13" s="190"/>
      <c r="T13" s="190"/>
      <c r="U13" s="190"/>
    </row>
    <row r="14" spans="1:21" ht="13" thickBot="1" x14ac:dyDescent="0.3">
      <c r="B14" s="275">
        <v>3780</v>
      </c>
      <c r="C14" s="276">
        <v>1.8</v>
      </c>
      <c r="D14" s="276">
        <v>0.22800000000000001</v>
      </c>
      <c r="E14" s="276">
        <v>0.3000000000000001</v>
      </c>
      <c r="F14" s="276">
        <v>0.45000000000000007</v>
      </c>
      <c r="G14" s="276">
        <v>0.31900000000000006</v>
      </c>
      <c r="H14" s="276">
        <v>0.18700000000000003</v>
      </c>
      <c r="I14" s="276">
        <v>0.48300000000000004</v>
      </c>
      <c r="J14" s="276">
        <v>0.8680000000000001</v>
      </c>
      <c r="K14" s="277">
        <v>0.43000000000000005</v>
      </c>
      <c r="M14" s="267" t="s">
        <v>352</v>
      </c>
      <c r="S14" s="190"/>
      <c r="T14" s="190"/>
      <c r="U14" s="190"/>
    </row>
    <row r="15" spans="1:21" x14ac:dyDescent="0.25">
      <c r="B15" s="289">
        <v>4200</v>
      </c>
      <c r="C15" s="290">
        <v>2</v>
      </c>
      <c r="D15" s="290">
        <v>0.192</v>
      </c>
      <c r="E15" s="290">
        <v>0.27</v>
      </c>
      <c r="F15" s="290">
        <v>0.41400000000000003</v>
      </c>
      <c r="G15" s="290">
        <v>0.30450000000000005</v>
      </c>
      <c r="H15" s="290">
        <v>0.17600000000000002</v>
      </c>
      <c r="I15" s="290">
        <v>0.46200000000000002</v>
      </c>
      <c r="J15" s="290">
        <v>0.74399999999999999</v>
      </c>
      <c r="K15" s="291">
        <v>0.40850000000000009</v>
      </c>
      <c r="L15" s="292" t="s">
        <v>342</v>
      </c>
      <c r="M15" s="293" t="s">
        <v>343</v>
      </c>
      <c r="N15" s="294">
        <v>1</v>
      </c>
    </row>
    <row r="16" spans="1:21" x14ac:dyDescent="0.25">
      <c r="L16" s="295" t="s">
        <v>348</v>
      </c>
      <c r="M16" s="296" t="s">
        <v>349</v>
      </c>
      <c r="N16" s="297">
        <v>0.92</v>
      </c>
    </row>
    <row r="17" spans="1:27" ht="13" thickBot="1" x14ac:dyDescent="0.3">
      <c r="L17" s="298" t="s">
        <v>345</v>
      </c>
      <c r="M17" s="299" t="s">
        <v>346</v>
      </c>
      <c r="N17" s="300">
        <v>0.98</v>
      </c>
    </row>
    <row r="18" spans="1:27" x14ac:dyDescent="0.25">
      <c r="A18" s="315" t="s">
        <v>359</v>
      </c>
      <c r="B18" s="265" t="s">
        <v>360</v>
      </c>
      <c r="M18" s="827" t="s">
        <v>358</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2.2967</v>
      </c>
      <c r="E21" s="273">
        <v>2.3975999999999997</v>
      </c>
      <c r="F21" s="273">
        <v>1.6604999999999999</v>
      </c>
      <c r="G21" s="273">
        <v>0.66974999999999985</v>
      </c>
      <c r="H21" s="273">
        <v>0.36000000000000004</v>
      </c>
      <c r="I21" s="273">
        <v>0.64859999999999995</v>
      </c>
      <c r="J21" s="273">
        <v>1.5876000000000001</v>
      </c>
      <c r="K21" s="274">
        <v>2.2995000000000001</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2.2253000000000003</v>
      </c>
      <c r="E22" s="276">
        <v>2.2841999999999998</v>
      </c>
      <c r="F22" s="276">
        <v>1.4964999999999997</v>
      </c>
      <c r="G22" s="276">
        <v>0.55574999999999997</v>
      </c>
      <c r="H22" s="276">
        <v>0.30400000000000005</v>
      </c>
      <c r="I22" s="276">
        <v>0.53820000000000001</v>
      </c>
      <c r="J22" s="276">
        <v>1.4307999999999998</v>
      </c>
      <c r="K22" s="277">
        <v>2.1892499999999999</v>
      </c>
      <c r="M22" s="278" t="s">
        <v>338</v>
      </c>
      <c r="N22" s="279">
        <v>0.5</v>
      </c>
      <c r="P22" s="301">
        <v>1.3</v>
      </c>
      <c r="Q22" s="301">
        <v>1.1000000000000001</v>
      </c>
      <c r="R22" s="301">
        <v>0.9</v>
      </c>
      <c r="S22" s="301">
        <v>0.875</v>
      </c>
      <c r="T22" s="301">
        <v>0.85</v>
      </c>
      <c r="U22" s="301">
        <v>0.875</v>
      </c>
      <c r="V22" s="301">
        <v>0.9</v>
      </c>
      <c r="W22" s="301">
        <v>1.1000000000000001</v>
      </c>
      <c r="Y22" s="190"/>
      <c r="Z22" s="190"/>
      <c r="AA22" s="190"/>
    </row>
    <row r="23" spans="1:27" x14ac:dyDescent="0.25">
      <c r="B23" s="272">
        <v>210</v>
      </c>
      <c r="C23" s="273">
        <v>0.1</v>
      </c>
      <c r="D23" s="273">
        <v>2.2015000000000002</v>
      </c>
      <c r="E23" s="273">
        <v>2.2031999999999998</v>
      </c>
      <c r="F23" s="273">
        <v>1.4349999999999996</v>
      </c>
      <c r="G23" s="273">
        <v>0.52724999999999989</v>
      </c>
      <c r="H23" s="273">
        <v>0.27999999999999997</v>
      </c>
      <c r="I23" s="273">
        <v>0.51059999999999994</v>
      </c>
      <c r="J23" s="273">
        <v>1.3719999999999999</v>
      </c>
      <c r="K23" s="274">
        <v>2.1105000000000005</v>
      </c>
      <c r="M23" s="281" t="s">
        <v>340</v>
      </c>
      <c r="N23" s="282">
        <v>1.1499999999999999</v>
      </c>
      <c r="O23" s="267" t="s">
        <v>364</v>
      </c>
      <c r="P23" s="302">
        <v>1.079</v>
      </c>
      <c r="Q23" s="302">
        <v>0.91300000000000003</v>
      </c>
      <c r="R23" s="302">
        <v>0.747</v>
      </c>
      <c r="S23" s="302">
        <v>0.72624999999999995</v>
      </c>
      <c r="T23" s="302">
        <v>0.7054999999999999</v>
      </c>
      <c r="U23" s="302">
        <v>0.72624999999999995</v>
      </c>
      <c r="V23" s="302">
        <v>0.747</v>
      </c>
      <c r="W23" s="302">
        <v>0.91300000000000003</v>
      </c>
      <c r="Y23" s="190"/>
      <c r="Z23" s="190"/>
      <c r="AA23" s="190"/>
    </row>
    <row r="24" spans="1:27" x14ac:dyDescent="0.25">
      <c r="B24" s="275">
        <v>420</v>
      </c>
      <c r="C24" s="276">
        <v>0.2</v>
      </c>
      <c r="D24" s="276">
        <v>1.8564000000000003</v>
      </c>
      <c r="E24" s="276">
        <v>1.9763999999999997</v>
      </c>
      <c r="F24" s="276">
        <v>1.2914999999999996</v>
      </c>
      <c r="G24" s="276">
        <v>0.47025</v>
      </c>
      <c r="H24" s="276">
        <v>0.25600000000000006</v>
      </c>
      <c r="I24" s="276">
        <v>0.45540000000000003</v>
      </c>
      <c r="J24" s="276">
        <v>1.2347999999999999</v>
      </c>
      <c r="K24" s="277">
        <v>1.89</v>
      </c>
      <c r="M24" s="278" t="s">
        <v>365</v>
      </c>
      <c r="N24" s="279">
        <v>0.83</v>
      </c>
      <c r="Y24" s="190"/>
      <c r="Z24" s="190"/>
      <c r="AA24" s="190"/>
    </row>
    <row r="25" spans="1:27" x14ac:dyDescent="0.25">
      <c r="B25" s="272">
        <v>840</v>
      </c>
      <c r="C25" s="273">
        <v>0.4</v>
      </c>
      <c r="D25" s="273">
        <v>1.6778999999999997</v>
      </c>
      <c r="E25" s="273">
        <v>1.6523999999999999</v>
      </c>
      <c r="F25" s="273">
        <v>1.0454999999999999</v>
      </c>
      <c r="G25" s="273">
        <v>0.39899999999999997</v>
      </c>
      <c r="H25" s="273">
        <v>0.21600000000000003</v>
      </c>
      <c r="I25" s="273">
        <v>0.38640000000000002</v>
      </c>
      <c r="J25" s="273">
        <v>0.99960000000000016</v>
      </c>
      <c r="K25" s="274">
        <v>1.5592500000000002</v>
      </c>
      <c r="M25" s="281" t="s">
        <v>366</v>
      </c>
      <c r="N25" s="282">
        <v>1.52</v>
      </c>
      <c r="O25" s="267" t="s">
        <v>389</v>
      </c>
      <c r="P25" s="265" t="s">
        <v>367</v>
      </c>
      <c r="Y25" s="190"/>
      <c r="Z25" s="190"/>
      <c r="AA25" s="190"/>
    </row>
    <row r="26" spans="1:27" x14ac:dyDescent="0.25">
      <c r="B26" s="275">
        <v>1260</v>
      </c>
      <c r="C26" s="276">
        <v>0.6</v>
      </c>
      <c r="D26" s="276">
        <v>1.4041999999999999</v>
      </c>
      <c r="E26" s="276">
        <v>1.3445999999999998</v>
      </c>
      <c r="F26" s="276">
        <v>0.90199999999999991</v>
      </c>
      <c r="G26" s="276">
        <v>0.34199999999999992</v>
      </c>
      <c r="H26" s="276">
        <v>0.19200000000000003</v>
      </c>
      <c r="I26" s="276">
        <v>0.33119999999999994</v>
      </c>
      <c r="J26" s="276">
        <v>0.86240000000000006</v>
      </c>
      <c r="K26" s="277">
        <v>1.2915000000000001</v>
      </c>
      <c r="L26" s="266" t="s">
        <v>342</v>
      </c>
      <c r="M26" s="278" t="s">
        <v>343</v>
      </c>
      <c r="N26" s="284">
        <v>1</v>
      </c>
      <c r="O26" s="302">
        <v>1</v>
      </c>
      <c r="Y26" s="190"/>
      <c r="Z26" s="190"/>
      <c r="AA26" s="190"/>
    </row>
    <row r="27" spans="1:27" ht="13" x14ac:dyDescent="0.25">
      <c r="B27" s="272">
        <v>1680</v>
      </c>
      <c r="C27" s="273">
        <v>0.8</v>
      </c>
      <c r="D27" s="273">
        <v>1.1900000000000002</v>
      </c>
      <c r="E27" s="273">
        <v>1.1015999999999999</v>
      </c>
      <c r="F27" s="273">
        <v>0.75849999999999984</v>
      </c>
      <c r="G27" s="273">
        <v>0.29924999999999996</v>
      </c>
      <c r="H27" s="273">
        <v>0.17600000000000002</v>
      </c>
      <c r="I27" s="273">
        <v>0.2898</v>
      </c>
      <c r="J27" s="273">
        <v>0.7056</v>
      </c>
      <c r="K27" s="274">
        <v>1.0552500000000002</v>
      </c>
      <c r="L27" s="266" t="s">
        <v>345</v>
      </c>
      <c r="M27" s="281" t="s">
        <v>346</v>
      </c>
      <c r="N27" s="285">
        <v>1</v>
      </c>
      <c r="O27" s="302">
        <v>0.95769462688388218</v>
      </c>
      <c r="P27" s="317" t="s">
        <v>380</v>
      </c>
      <c r="Y27" s="190"/>
      <c r="Z27" s="190"/>
      <c r="AA27" s="190"/>
    </row>
    <row r="28" spans="1:27" x14ac:dyDescent="0.25">
      <c r="B28" s="275">
        <v>2100</v>
      </c>
      <c r="C28" s="276">
        <v>1</v>
      </c>
      <c r="D28" s="276">
        <v>0.94010000000000005</v>
      </c>
      <c r="E28" s="276">
        <v>0.95579999999999987</v>
      </c>
      <c r="F28" s="276">
        <v>0.65599999999999992</v>
      </c>
      <c r="G28" s="276">
        <v>0.28499999999999998</v>
      </c>
      <c r="H28" s="276">
        <v>0.16000000000000003</v>
      </c>
      <c r="I28" s="276">
        <v>0.26219999999999999</v>
      </c>
      <c r="J28" s="276">
        <v>0.58799999999999997</v>
      </c>
      <c r="K28" s="277">
        <v>0.91349999999999998</v>
      </c>
      <c r="L28" s="266" t="s">
        <v>348</v>
      </c>
      <c r="M28" s="278" t="s">
        <v>349</v>
      </c>
      <c r="N28" s="284">
        <v>0.95769462688388218</v>
      </c>
      <c r="O28" s="302">
        <v>0.90807067243969508</v>
      </c>
      <c r="P28" s="303">
        <v>4.9338192416188535</v>
      </c>
      <c r="Y28" s="190"/>
      <c r="Z28" s="190"/>
      <c r="AA28" s="190"/>
    </row>
    <row r="29" spans="1:27" x14ac:dyDescent="0.25">
      <c r="B29" s="272">
        <v>2520</v>
      </c>
      <c r="C29" s="273">
        <v>1.2</v>
      </c>
      <c r="D29" s="273">
        <v>0.64260000000000006</v>
      </c>
      <c r="E29" s="273">
        <v>0.74519999999999986</v>
      </c>
      <c r="F29" s="273">
        <v>0.57400000000000007</v>
      </c>
      <c r="G29" s="273">
        <v>0.25649999999999995</v>
      </c>
      <c r="H29" s="273">
        <v>0.15200000000000002</v>
      </c>
      <c r="I29" s="273">
        <v>0.24839999999999998</v>
      </c>
      <c r="J29" s="273">
        <v>0.5292</v>
      </c>
      <c r="K29" s="274">
        <v>0.74025000000000007</v>
      </c>
      <c r="M29" s="286" t="s">
        <v>369</v>
      </c>
      <c r="N29" s="288">
        <v>0.91</v>
      </c>
      <c r="Y29" s="190"/>
      <c r="Z29" s="190"/>
      <c r="AA29" s="190"/>
    </row>
    <row r="30" spans="1:27" x14ac:dyDescent="0.25">
      <c r="B30" s="275">
        <v>2940</v>
      </c>
      <c r="C30" s="276">
        <v>1.4</v>
      </c>
      <c r="D30" s="276">
        <v>0.52359999999999995</v>
      </c>
      <c r="E30" s="276">
        <v>0.68039999999999989</v>
      </c>
      <c r="F30" s="276">
        <v>0.51249999999999996</v>
      </c>
      <c r="G30" s="276">
        <v>0.24224999999999997</v>
      </c>
      <c r="H30" s="276">
        <v>0.14400000000000002</v>
      </c>
      <c r="I30" s="276">
        <v>0.2346</v>
      </c>
      <c r="J30" s="276">
        <v>0.47039999999999998</v>
      </c>
      <c r="K30" s="277">
        <v>0.59850000000000003</v>
      </c>
      <c r="M30" s="267" t="s">
        <v>351</v>
      </c>
      <c r="Y30" s="190"/>
      <c r="Z30" s="190"/>
      <c r="AA30" s="190"/>
    </row>
    <row r="31" spans="1:27" x14ac:dyDescent="0.25">
      <c r="B31" s="272">
        <v>3360</v>
      </c>
      <c r="C31" s="273">
        <v>1.6</v>
      </c>
      <c r="D31" s="273">
        <v>0.36890000000000001</v>
      </c>
      <c r="E31" s="273">
        <v>0.50219999999999998</v>
      </c>
      <c r="F31" s="273">
        <v>0.43049999999999994</v>
      </c>
      <c r="G31" s="273">
        <v>0.22799999999999998</v>
      </c>
      <c r="H31" s="273">
        <v>0.13600000000000001</v>
      </c>
      <c r="I31" s="273">
        <v>0.20699999999999999</v>
      </c>
      <c r="J31" s="273">
        <v>0.43120000000000003</v>
      </c>
      <c r="K31" s="274">
        <v>0.504</v>
      </c>
      <c r="Y31" s="190"/>
      <c r="Z31" s="190"/>
      <c r="AA31" s="190"/>
    </row>
    <row r="32" spans="1:27" x14ac:dyDescent="0.25">
      <c r="B32" s="275">
        <v>3780</v>
      </c>
      <c r="C32" s="276">
        <v>1.8</v>
      </c>
      <c r="D32" s="276">
        <v>0.2737</v>
      </c>
      <c r="E32" s="276">
        <v>0.45359999999999995</v>
      </c>
      <c r="F32" s="276">
        <v>0.38949999999999996</v>
      </c>
      <c r="G32" s="276">
        <v>0.19949999999999998</v>
      </c>
      <c r="H32" s="276">
        <v>0.12800000000000003</v>
      </c>
      <c r="I32" s="276">
        <v>0.19320000000000001</v>
      </c>
      <c r="J32" s="276">
        <v>0.37240000000000001</v>
      </c>
      <c r="K32" s="277">
        <v>0.45674999999999999</v>
      </c>
      <c r="M32" s="286" t="s">
        <v>369</v>
      </c>
      <c r="N32" s="288">
        <v>0.80182982449824469</v>
      </c>
      <c r="Y32" s="190"/>
      <c r="Z32" s="190"/>
      <c r="AA32" s="190"/>
    </row>
    <row r="33" spans="1:27" ht="13" thickBot="1" x14ac:dyDescent="0.3">
      <c r="B33" s="289">
        <v>4200</v>
      </c>
      <c r="C33" s="290">
        <v>2</v>
      </c>
      <c r="D33" s="290">
        <v>0.2261</v>
      </c>
      <c r="E33" s="290">
        <v>0.40499999999999997</v>
      </c>
      <c r="F33" s="290">
        <v>0.32799999999999996</v>
      </c>
      <c r="G33" s="290">
        <v>0.19949999999999998</v>
      </c>
      <c r="H33" s="290">
        <v>0.12000000000000001</v>
      </c>
      <c r="I33" s="290">
        <v>0.19320000000000001</v>
      </c>
      <c r="J33" s="290">
        <v>0.3332</v>
      </c>
      <c r="K33" s="291">
        <v>0.36225000000000007</v>
      </c>
      <c r="M33" s="267" t="s">
        <v>370</v>
      </c>
      <c r="Y33" s="190"/>
      <c r="Z33" s="190"/>
      <c r="AA33" s="190"/>
    </row>
    <row r="34" spans="1:27" x14ac:dyDescent="0.25">
      <c r="B34" s="322"/>
      <c r="C34" s="323"/>
      <c r="D34" s="323"/>
      <c r="E34" s="323"/>
      <c r="F34" s="323"/>
      <c r="G34" s="323"/>
      <c r="H34" s="323"/>
      <c r="I34" s="323"/>
      <c r="J34" s="323"/>
      <c r="K34" s="323"/>
      <c r="L34" s="292" t="s">
        <v>342</v>
      </c>
      <c r="M34" s="293" t="s">
        <v>343</v>
      </c>
      <c r="N34" s="294">
        <v>1</v>
      </c>
    </row>
    <row r="35" spans="1:27" x14ac:dyDescent="0.25">
      <c r="B35" s="322"/>
      <c r="C35" s="323"/>
      <c r="D35" s="323"/>
      <c r="E35" s="323"/>
      <c r="F35" s="323"/>
      <c r="G35" s="323"/>
      <c r="H35" s="323"/>
      <c r="I35" s="323"/>
      <c r="J35" s="323"/>
      <c r="K35" s="323"/>
      <c r="L35" s="295" t="s">
        <v>348</v>
      </c>
      <c r="M35" s="296" t="s">
        <v>349</v>
      </c>
      <c r="N35" s="297">
        <v>0.95769462688388218</v>
      </c>
    </row>
    <row r="36" spans="1:27" ht="13" thickBot="1" x14ac:dyDescent="0.3">
      <c r="B36" s="322"/>
      <c r="C36" s="323"/>
      <c r="D36" s="323"/>
      <c r="E36" s="323"/>
      <c r="F36" s="323"/>
      <c r="G36" s="323"/>
      <c r="H36" s="323"/>
      <c r="I36" s="323"/>
      <c r="J36" s="323"/>
      <c r="K36" s="323"/>
      <c r="L36" s="298" t="s">
        <v>345</v>
      </c>
      <c r="M36" s="299" t="s">
        <v>346</v>
      </c>
      <c r="N36" s="300">
        <v>1</v>
      </c>
    </row>
    <row r="38" spans="1:27" x14ac:dyDescent="0.25">
      <c r="A38" s="318" t="s">
        <v>353</v>
      </c>
      <c r="B38" s="265" t="s">
        <v>354</v>
      </c>
      <c r="M38" s="827" t="s">
        <v>355</v>
      </c>
      <c r="N38" s="827"/>
      <c r="P38" s="265" t="s">
        <v>356</v>
      </c>
      <c r="S38" s="190"/>
      <c r="T38" s="190"/>
      <c r="U38" s="190"/>
    </row>
    <row r="39" spans="1:27" x14ac:dyDescent="0.25">
      <c r="S39" s="190"/>
      <c r="T39" s="190"/>
      <c r="U39" s="190"/>
    </row>
    <row r="40" spans="1:27"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7" ht="13" x14ac:dyDescent="0.25">
      <c r="B41" s="272">
        <v>0</v>
      </c>
      <c r="C41" s="307">
        <v>0</v>
      </c>
      <c r="D41" s="273">
        <v>0.69699999999999995</v>
      </c>
      <c r="E41" s="273">
        <v>1.0752000000000002</v>
      </c>
      <c r="F41" s="273">
        <v>1.32</v>
      </c>
      <c r="G41" s="273">
        <v>0.72</v>
      </c>
      <c r="H41" s="273">
        <v>0.27200000000000002</v>
      </c>
      <c r="I41" s="273">
        <v>0.70195000000000007</v>
      </c>
      <c r="J41" s="273">
        <v>1.2573000000000001</v>
      </c>
      <c r="K41" s="274">
        <v>1.0498000000000001</v>
      </c>
      <c r="M41" s="304" t="s">
        <v>334</v>
      </c>
      <c r="N41" s="271" t="s">
        <v>335</v>
      </c>
      <c r="P41" s="304" t="s">
        <v>336</v>
      </c>
      <c r="Q41" s="271" t="s">
        <v>337</v>
      </c>
      <c r="S41" s="190"/>
      <c r="T41" s="190"/>
      <c r="U41" s="190"/>
    </row>
    <row r="42" spans="1:27" x14ac:dyDescent="0.25">
      <c r="B42" s="275">
        <v>105</v>
      </c>
      <c r="C42" s="308">
        <v>0.05</v>
      </c>
      <c r="D42" s="276">
        <v>0.58219999999999994</v>
      </c>
      <c r="E42" s="276">
        <v>0.95040000000000002</v>
      </c>
      <c r="F42" s="276">
        <v>1.1990000000000003</v>
      </c>
      <c r="G42" s="276">
        <v>0.63749999999999996</v>
      </c>
      <c r="H42" s="276">
        <v>0.22799999999999998</v>
      </c>
      <c r="I42" s="276">
        <v>0.62550000000000006</v>
      </c>
      <c r="J42" s="276">
        <v>1.1484000000000001</v>
      </c>
      <c r="K42" s="277">
        <v>0.94120000000000015</v>
      </c>
      <c r="M42" s="278" t="s">
        <v>338</v>
      </c>
      <c r="N42" s="284">
        <v>0.8</v>
      </c>
      <c r="P42" s="278" t="s">
        <v>339</v>
      </c>
      <c r="Q42" s="280">
        <v>9.0942087158660312E-2</v>
      </c>
      <c r="S42" s="190"/>
      <c r="T42" s="190"/>
      <c r="U42" s="190"/>
    </row>
    <row r="43" spans="1:27" x14ac:dyDescent="0.25">
      <c r="B43" s="272">
        <v>210</v>
      </c>
      <c r="C43" s="307">
        <v>0.1</v>
      </c>
      <c r="D43" s="273">
        <v>0.53300000000000003</v>
      </c>
      <c r="E43" s="273">
        <v>0.86399999999999999</v>
      </c>
      <c r="F43" s="273">
        <v>1.1220000000000001</v>
      </c>
      <c r="G43" s="273">
        <v>0.59250000000000003</v>
      </c>
      <c r="H43" s="273">
        <v>0.216</v>
      </c>
      <c r="I43" s="273">
        <v>0.58379999999999999</v>
      </c>
      <c r="J43" s="273">
        <v>1.0791000000000002</v>
      </c>
      <c r="K43" s="274">
        <v>0.85975000000000013</v>
      </c>
      <c r="M43" s="281" t="s">
        <v>340</v>
      </c>
      <c r="N43" s="285">
        <v>1.6</v>
      </c>
      <c r="P43" s="281" t="s">
        <v>341</v>
      </c>
      <c r="Q43" s="283">
        <v>9.3227801444374592E-2</v>
      </c>
      <c r="S43" s="190"/>
      <c r="T43" s="190"/>
      <c r="U43" s="190"/>
    </row>
    <row r="44" spans="1:27" x14ac:dyDescent="0.25">
      <c r="B44" s="275">
        <v>420</v>
      </c>
      <c r="C44" s="308">
        <v>0.2</v>
      </c>
      <c r="D44" s="276">
        <v>0.4264</v>
      </c>
      <c r="E44" s="276">
        <v>0.75840000000000007</v>
      </c>
      <c r="F44" s="276">
        <v>0.99</v>
      </c>
      <c r="G44" s="276">
        <v>0.52499999999999991</v>
      </c>
      <c r="H44" s="276">
        <v>0.192</v>
      </c>
      <c r="I44" s="276">
        <v>0.50735000000000008</v>
      </c>
      <c r="J44" s="276">
        <v>0.97020000000000006</v>
      </c>
      <c r="K44" s="277">
        <v>0.7511500000000001</v>
      </c>
      <c r="L44" s="266" t="s">
        <v>342</v>
      </c>
      <c r="M44" s="278" t="s">
        <v>343</v>
      </c>
      <c r="N44" s="284">
        <v>0.98</v>
      </c>
      <c r="P44" s="278" t="s">
        <v>344</v>
      </c>
      <c r="Q44" s="280">
        <v>9.4370658587231732E-2</v>
      </c>
      <c r="S44" s="190"/>
      <c r="T44" s="190"/>
      <c r="U44" s="190"/>
    </row>
    <row r="45" spans="1:27" x14ac:dyDescent="0.25">
      <c r="B45" s="272">
        <v>840</v>
      </c>
      <c r="C45" s="307">
        <v>0.4</v>
      </c>
      <c r="D45" s="273">
        <v>0.31980000000000003</v>
      </c>
      <c r="E45" s="273">
        <v>0.57600000000000007</v>
      </c>
      <c r="F45" s="273">
        <v>0.80300000000000016</v>
      </c>
      <c r="G45" s="273">
        <v>0.42749999999999999</v>
      </c>
      <c r="H45" s="273">
        <v>0.156</v>
      </c>
      <c r="I45" s="273">
        <v>0.42395000000000005</v>
      </c>
      <c r="J45" s="273">
        <v>0.78210000000000002</v>
      </c>
      <c r="K45" s="274">
        <v>0.57015000000000005</v>
      </c>
      <c r="L45" s="266" t="s">
        <v>345</v>
      </c>
      <c r="M45" s="281" t="s">
        <v>346</v>
      </c>
      <c r="N45" s="285">
        <v>0.92</v>
      </c>
      <c r="P45" s="286" t="s">
        <v>347</v>
      </c>
      <c r="Q45" s="287">
        <v>9.4942087158660315E-2</v>
      </c>
      <c r="S45" s="190"/>
      <c r="T45" s="190"/>
      <c r="U45" s="190"/>
    </row>
    <row r="46" spans="1:27" x14ac:dyDescent="0.25">
      <c r="B46" s="275">
        <v>1260</v>
      </c>
      <c r="C46" s="308">
        <v>0.6</v>
      </c>
      <c r="D46" s="276">
        <v>0.27879999999999999</v>
      </c>
      <c r="E46" s="276">
        <v>0.44160000000000005</v>
      </c>
      <c r="F46" s="276">
        <v>0.66</v>
      </c>
      <c r="G46" s="276">
        <v>0.36</v>
      </c>
      <c r="H46" s="276">
        <v>0.13200000000000001</v>
      </c>
      <c r="I46" s="276">
        <v>0.34750000000000003</v>
      </c>
      <c r="J46" s="276">
        <v>0.65339999999999998</v>
      </c>
      <c r="K46" s="277">
        <v>0.44345000000000007</v>
      </c>
      <c r="L46" s="266" t="s">
        <v>348</v>
      </c>
      <c r="M46" s="309" t="s">
        <v>349</v>
      </c>
      <c r="N46" s="310">
        <v>0.89</v>
      </c>
      <c r="S46" s="190"/>
      <c r="T46" s="190"/>
      <c r="U46" s="190"/>
    </row>
    <row r="47" spans="1:27" x14ac:dyDescent="0.25">
      <c r="B47" s="272">
        <v>1680</v>
      </c>
      <c r="C47" s="307">
        <v>0.8</v>
      </c>
      <c r="D47" s="273">
        <v>0.246</v>
      </c>
      <c r="E47" s="273">
        <v>0.35520000000000002</v>
      </c>
      <c r="F47" s="273">
        <v>0.55000000000000004</v>
      </c>
      <c r="G47" s="273">
        <v>0.3075</v>
      </c>
      <c r="H47" s="273">
        <v>0.11599999999999999</v>
      </c>
      <c r="I47" s="273">
        <v>0.29885</v>
      </c>
      <c r="J47" s="273">
        <v>0.52470000000000006</v>
      </c>
      <c r="K47" s="274">
        <v>0.36200000000000004</v>
      </c>
      <c r="S47" s="190"/>
      <c r="T47" s="190"/>
      <c r="U47" s="190"/>
    </row>
    <row r="48" spans="1:27" ht="13" thickBot="1" x14ac:dyDescent="0.3">
      <c r="B48" s="275">
        <v>2100</v>
      </c>
      <c r="C48" s="308">
        <v>1</v>
      </c>
      <c r="D48" s="276">
        <v>0.20499999999999999</v>
      </c>
      <c r="E48" s="276">
        <v>0.28800000000000003</v>
      </c>
      <c r="F48" s="276">
        <v>0.46199999999999997</v>
      </c>
      <c r="G48" s="276">
        <v>0.26249999999999996</v>
      </c>
      <c r="H48" s="276">
        <v>0.1</v>
      </c>
      <c r="I48" s="276">
        <v>0.25715000000000005</v>
      </c>
      <c r="J48" s="276">
        <v>0.46529999999999999</v>
      </c>
      <c r="K48" s="277">
        <v>0.29865000000000003</v>
      </c>
      <c r="M48" s="267" t="s">
        <v>357</v>
      </c>
      <c r="S48" s="190"/>
      <c r="T48" s="190"/>
      <c r="U48" s="190"/>
    </row>
    <row r="49" spans="1:27" x14ac:dyDescent="0.25">
      <c r="B49" s="272">
        <v>2520</v>
      </c>
      <c r="C49" s="307">
        <v>1.2</v>
      </c>
      <c r="D49" s="273">
        <v>0.18860000000000002</v>
      </c>
      <c r="E49" s="273">
        <v>0.26880000000000004</v>
      </c>
      <c r="F49" s="273">
        <v>0.40700000000000003</v>
      </c>
      <c r="G49" s="273">
        <v>0.23250000000000001</v>
      </c>
      <c r="H49" s="273">
        <v>9.1999999999999998E-2</v>
      </c>
      <c r="I49" s="273">
        <v>0.22935000000000003</v>
      </c>
      <c r="J49" s="273">
        <v>0.38610000000000005</v>
      </c>
      <c r="K49" s="274">
        <v>0.23530000000000004</v>
      </c>
      <c r="L49" s="292" t="s">
        <v>342</v>
      </c>
      <c r="M49" s="293" t="s">
        <v>343</v>
      </c>
      <c r="N49" s="294">
        <v>0.98</v>
      </c>
      <c r="S49" s="190"/>
      <c r="T49" s="190"/>
      <c r="U49" s="190"/>
    </row>
    <row r="50" spans="1:27" x14ac:dyDescent="0.25">
      <c r="B50" s="275">
        <v>2940</v>
      </c>
      <c r="C50" s="308">
        <v>1.4</v>
      </c>
      <c r="D50" s="276">
        <v>0.17219999999999999</v>
      </c>
      <c r="E50" s="276">
        <v>0.22080000000000002</v>
      </c>
      <c r="F50" s="276">
        <v>0.35200000000000004</v>
      </c>
      <c r="G50" s="276">
        <v>0.21749999999999997</v>
      </c>
      <c r="H50" s="276">
        <v>0.08</v>
      </c>
      <c r="I50" s="276">
        <v>0.20155000000000001</v>
      </c>
      <c r="J50" s="276">
        <v>0.33660000000000007</v>
      </c>
      <c r="K50" s="277">
        <v>0.2172</v>
      </c>
      <c r="L50" s="295" t="s">
        <v>348</v>
      </c>
      <c r="M50" s="296" t="s">
        <v>349</v>
      </c>
      <c r="N50" s="297">
        <v>0.89</v>
      </c>
      <c r="S50" s="190"/>
      <c r="T50" s="190"/>
      <c r="U50" s="190"/>
    </row>
    <row r="51" spans="1:27" ht="13" thickBot="1" x14ac:dyDescent="0.3">
      <c r="B51" s="272">
        <v>3360</v>
      </c>
      <c r="C51" s="307">
        <v>1.6</v>
      </c>
      <c r="D51" s="273">
        <v>0.16400000000000001</v>
      </c>
      <c r="E51" s="273">
        <v>0.2016</v>
      </c>
      <c r="F51" s="273">
        <v>0.33</v>
      </c>
      <c r="G51" s="273">
        <v>0.1875</v>
      </c>
      <c r="H51" s="273">
        <v>7.1999999999999995E-2</v>
      </c>
      <c r="I51" s="273">
        <v>0.17375000000000002</v>
      </c>
      <c r="J51" s="273">
        <v>0.30690000000000001</v>
      </c>
      <c r="K51" s="274">
        <v>0.19910000000000003</v>
      </c>
      <c r="L51" s="298" t="s">
        <v>345</v>
      </c>
      <c r="M51" s="299" t="s">
        <v>346</v>
      </c>
      <c r="N51" s="300">
        <v>0.92</v>
      </c>
    </row>
    <row r="52" spans="1:27" x14ac:dyDescent="0.25">
      <c r="B52" s="275">
        <v>3780</v>
      </c>
      <c r="C52" s="308">
        <v>1.8</v>
      </c>
      <c r="D52" s="276">
        <v>0.15579999999999999</v>
      </c>
      <c r="E52" s="276">
        <v>0.19200000000000003</v>
      </c>
      <c r="F52" s="276">
        <v>0.27500000000000002</v>
      </c>
      <c r="G52" s="276">
        <v>0.16500000000000001</v>
      </c>
      <c r="H52" s="276">
        <v>6.8000000000000005E-2</v>
      </c>
      <c r="I52" s="276">
        <v>0.15985000000000002</v>
      </c>
      <c r="J52" s="276">
        <v>0.27720000000000006</v>
      </c>
      <c r="K52" s="277">
        <v>0.18100000000000002</v>
      </c>
    </row>
    <row r="53" spans="1:27" x14ac:dyDescent="0.25">
      <c r="B53" s="289">
        <v>4200</v>
      </c>
      <c r="C53" s="311">
        <v>2</v>
      </c>
      <c r="D53" s="290">
        <v>0.13119999999999998</v>
      </c>
      <c r="E53" s="290">
        <v>0.17280000000000001</v>
      </c>
      <c r="F53" s="290">
        <v>0.253</v>
      </c>
      <c r="G53" s="290">
        <v>0.1575</v>
      </c>
      <c r="H53" s="290">
        <v>6.4000000000000001E-2</v>
      </c>
      <c r="I53" s="290">
        <v>0.15290000000000001</v>
      </c>
      <c r="J53" s="290">
        <v>0.23760000000000001</v>
      </c>
      <c r="K53" s="291">
        <v>0.17195000000000005</v>
      </c>
    </row>
    <row r="55" spans="1:27" x14ac:dyDescent="0.25">
      <c r="A55" s="319"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1.3895999999999999</v>
      </c>
      <c r="E58" s="273">
        <v>1.2732000000000001</v>
      </c>
      <c r="F58" s="273">
        <v>1.2150000000000001</v>
      </c>
      <c r="G58" s="273">
        <v>0.79500000000000015</v>
      </c>
      <c r="H58" s="273">
        <v>0.58500000000000008</v>
      </c>
      <c r="I58" s="273">
        <v>0.89700000000000013</v>
      </c>
      <c r="J58" s="273">
        <v>1.0530000000000002</v>
      </c>
      <c r="K58" s="274">
        <v>1.2774000000000001</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1.3464</v>
      </c>
      <c r="E59" s="276">
        <v>1.212981081081081</v>
      </c>
      <c r="F59" s="276">
        <v>1.095</v>
      </c>
      <c r="G59" s="276">
        <v>0.65968085106383001</v>
      </c>
      <c r="H59" s="276">
        <v>0.49400000000000005</v>
      </c>
      <c r="I59" s="276">
        <v>0.74431914893617035</v>
      </c>
      <c r="J59" s="276">
        <v>0.94900000000000007</v>
      </c>
      <c r="K59" s="277">
        <v>1.216154794520548</v>
      </c>
      <c r="M59" s="278" t="s">
        <v>338</v>
      </c>
      <c r="N59" s="284">
        <v>1</v>
      </c>
      <c r="P59" s="312">
        <v>1.2</v>
      </c>
      <c r="Q59" s="313">
        <v>1</v>
      </c>
      <c r="R59" s="313">
        <v>0.8</v>
      </c>
      <c r="S59" s="313">
        <v>0.75</v>
      </c>
      <c r="T59" s="313">
        <v>0.7</v>
      </c>
      <c r="U59" s="313">
        <v>0.75</v>
      </c>
      <c r="V59" s="313">
        <v>0.8</v>
      </c>
      <c r="W59" s="310">
        <v>1</v>
      </c>
      <c r="Y59" s="190"/>
      <c r="Z59" s="190"/>
      <c r="AA59" s="190"/>
    </row>
    <row r="60" spans="1:27" x14ac:dyDescent="0.25">
      <c r="B60" s="272">
        <v>210</v>
      </c>
      <c r="C60" s="307">
        <v>0.1</v>
      </c>
      <c r="D60" s="273">
        <v>1.3320000000000001</v>
      </c>
      <c r="E60" s="273">
        <v>1.1699675675675678</v>
      </c>
      <c r="F60" s="273">
        <v>1.0499999999999998</v>
      </c>
      <c r="G60" s="273">
        <v>0.62585106382978739</v>
      </c>
      <c r="H60" s="273">
        <v>0.45500000000000002</v>
      </c>
      <c r="I60" s="273">
        <v>0.7061489361702129</v>
      </c>
      <c r="J60" s="273">
        <v>0.90999999999999992</v>
      </c>
      <c r="K60" s="274">
        <v>1.1724082191780825</v>
      </c>
      <c r="M60" s="281" t="s">
        <v>340</v>
      </c>
      <c r="N60" s="285">
        <v>0.7</v>
      </c>
      <c r="O60" s="267" t="s">
        <v>364</v>
      </c>
      <c r="P60" s="302">
        <v>0.98399999999999987</v>
      </c>
      <c r="Q60" s="302">
        <v>0.82</v>
      </c>
      <c r="R60" s="302">
        <v>0.65600000000000003</v>
      </c>
      <c r="S60" s="302">
        <v>0.61499999999999999</v>
      </c>
      <c r="T60" s="302">
        <v>0.57399999999999995</v>
      </c>
      <c r="U60" s="302">
        <v>0.61499999999999999</v>
      </c>
      <c r="V60" s="302">
        <v>0.65600000000000003</v>
      </c>
      <c r="W60" s="302">
        <v>0.82</v>
      </c>
      <c r="Y60" s="190"/>
      <c r="Z60" s="190"/>
      <c r="AA60" s="190"/>
    </row>
    <row r="61" spans="1:27" x14ac:dyDescent="0.25">
      <c r="B61" s="275">
        <v>420</v>
      </c>
      <c r="C61" s="308">
        <v>0.2</v>
      </c>
      <c r="D61" s="276">
        <v>1.1232000000000002</v>
      </c>
      <c r="E61" s="276">
        <v>1.0495297297297299</v>
      </c>
      <c r="F61" s="276">
        <v>0.94499999999999995</v>
      </c>
      <c r="G61" s="276">
        <v>0.55819148936170238</v>
      </c>
      <c r="H61" s="276">
        <v>0.41600000000000009</v>
      </c>
      <c r="I61" s="276">
        <v>0.62980851063829812</v>
      </c>
      <c r="J61" s="276">
        <v>0.81900000000000006</v>
      </c>
      <c r="K61" s="277">
        <v>1.049917808219178</v>
      </c>
      <c r="M61" s="278" t="s">
        <v>365</v>
      </c>
      <c r="N61" s="284">
        <v>0.82</v>
      </c>
      <c r="Y61" s="190"/>
      <c r="Z61" s="190"/>
      <c r="AA61" s="190"/>
    </row>
    <row r="62" spans="1:27" x14ac:dyDescent="0.25">
      <c r="B62" s="272">
        <v>840</v>
      </c>
      <c r="C62" s="307">
        <v>0.4</v>
      </c>
      <c r="D62" s="273">
        <v>1.0151999999999999</v>
      </c>
      <c r="E62" s="273">
        <v>0.87747567567567586</v>
      </c>
      <c r="F62" s="273">
        <v>0.76500000000000012</v>
      </c>
      <c r="G62" s="273">
        <v>0.47361702127659588</v>
      </c>
      <c r="H62" s="273">
        <v>0.35100000000000003</v>
      </c>
      <c r="I62" s="273">
        <v>0.53438297872340446</v>
      </c>
      <c r="J62" s="273">
        <v>0.66300000000000014</v>
      </c>
      <c r="K62" s="274">
        <v>0.86618219178082201</v>
      </c>
      <c r="M62" s="281" t="s">
        <v>366</v>
      </c>
      <c r="N62" s="285">
        <v>0.32</v>
      </c>
      <c r="P62" s="265" t="s">
        <v>373</v>
      </c>
      <c r="Y62" s="190"/>
      <c r="Z62" s="190"/>
      <c r="AA62" s="190"/>
    </row>
    <row r="63" spans="1:27" ht="13" thickBot="1" x14ac:dyDescent="0.3">
      <c r="B63" s="275">
        <v>1260</v>
      </c>
      <c r="C63" s="308">
        <v>0.6</v>
      </c>
      <c r="D63" s="276">
        <v>0.84959999999999991</v>
      </c>
      <c r="E63" s="276">
        <v>0.71402432432432428</v>
      </c>
      <c r="F63" s="276">
        <v>0.66</v>
      </c>
      <c r="G63" s="276">
        <v>0.4059574468085107</v>
      </c>
      <c r="H63" s="276">
        <v>0.31200000000000006</v>
      </c>
      <c r="I63" s="276">
        <v>0.4580425531914894</v>
      </c>
      <c r="J63" s="276">
        <v>0.57200000000000006</v>
      </c>
      <c r="K63" s="277">
        <v>0.71744383561643843</v>
      </c>
      <c r="L63" s="266" t="s">
        <v>342</v>
      </c>
      <c r="M63" s="278" t="s">
        <v>343</v>
      </c>
      <c r="N63" s="284">
        <v>1</v>
      </c>
      <c r="Y63" s="190"/>
      <c r="Z63" s="190"/>
      <c r="AA63" s="190"/>
    </row>
    <row r="64" spans="1:27" ht="13.5" thickBot="1" x14ac:dyDescent="0.3">
      <c r="B64" s="272">
        <v>1680</v>
      </c>
      <c r="C64" s="307">
        <v>0.8</v>
      </c>
      <c r="D64" s="273">
        <v>0.72000000000000008</v>
      </c>
      <c r="E64" s="273">
        <v>0.58498378378378391</v>
      </c>
      <c r="F64" s="273">
        <v>0.55500000000000005</v>
      </c>
      <c r="G64" s="273">
        <v>0.35521276595744689</v>
      </c>
      <c r="H64" s="273">
        <v>0.28600000000000003</v>
      </c>
      <c r="I64" s="273">
        <v>0.40078723404255329</v>
      </c>
      <c r="J64" s="273">
        <v>0.46800000000000003</v>
      </c>
      <c r="K64" s="274">
        <v>0.58620410958904123</v>
      </c>
      <c r="L64" s="266" t="s">
        <v>345</v>
      </c>
      <c r="M64" s="281" t="s">
        <v>346</v>
      </c>
      <c r="N64" s="285">
        <v>1</v>
      </c>
      <c r="P64" s="320" t="s">
        <v>374</v>
      </c>
      <c r="Y64" s="190"/>
      <c r="Z64" s="190"/>
      <c r="AA64" s="190"/>
    </row>
    <row r="65" spans="2:27" ht="13.5" thickBot="1" x14ac:dyDescent="0.3">
      <c r="B65" s="275">
        <v>2100</v>
      </c>
      <c r="C65" s="308">
        <v>1</v>
      </c>
      <c r="D65" s="276">
        <v>0.56879999999999997</v>
      </c>
      <c r="E65" s="276">
        <v>0.50755945945945946</v>
      </c>
      <c r="F65" s="276">
        <v>0.48</v>
      </c>
      <c r="G65" s="276">
        <v>0.33829787234042563</v>
      </c>
      <c r="H65" s="276">
        <v>0.26000000000000006</v>
      </c>
      <c r="I65" s="276">
        <v>0.36261702127659584</v>
      </c>
      <c r="J65" s="276">
        <v>0.39</v>
      </c>
      <c r="K65" s="277">
        <v>0.50746027397260274</v>
      </c>
      <c r="L65" s="266" t="s">
        <v>348</v>
      </c>
      <c r="M65" s="309" t="s">
        <v>349</v>
      </c>
      <c r="N65" s="310">
        <v>0.95769462688388218</v>
      </c>
      <c r="P65" s="321">
        <v>9.4105230116780358</v>
      </c>
      <c r="Y65" s="190"/>
      <c r="Z65" s="190"/>
      <c r="AA65" s="190"/>
    </row>
    <row r="66" spans="2:27" x14ac:dyDescent="0.25">
      <c r="B66" s="272">
        <v>2520</v>
      </c>
      <c r="C66" s="307">
        <v>1.2</v>
      </c>
      <c r="D66" s="273">
        <v>0.38880000000000003</v>
      </c>
      <c r="E66" s="273">
        <v>0.39572432432432436</v>
      </c>
      <c r="F66" s="273">
        <v>0.4200000000000001</v>
      </c>
      <c r="G66" s="273">
        <v>0.30446808510638301</v>
      </c>
      <c r="H66" s="273">
        <v>0.24700000000000003</v>
      </c>
      <c r="I66" s="273">
        <v>0.34353191489361706</v>
      </c>
      <c r="J66" s="273">
        <v>0.35100000000000003</v>
      </c>
      <c r="K66" s="274">
        <v>0.41121780821917814</v>
      </c>
      <c r="Y66" s="190"/>
      <c r="Z66" s="190"/>
      <c r="AA66" s="190"/>
    </row>
    <row r="67" spans="2:27" ht="13" thickBot="1" x14ac:dyDescent="0.3">
      <c r="B67" s="275">
        <v>2940</v>
      </c>
      <c r="C67" s="308">
        <v>1.4</v>
      </c>
      <c r="D67" s="276">
        <v>0.31679999999999997</v>
      </c>
      <c r="E67" s="276">
        <v>0.36131351351351354</v>
      </c>
      <c r="F67" s="276">
        <v>0.375</v>
      </c>
      <c r="G67" s="276">
        <v>0.28755319148936176</v>
      </c>
      <c r="H67" s="276">
        <v>0.23400000000000001</v>
      </c>
      <c r="I67" s="276">
        <v>0.32444680851063834</v>
      </c>
      <c r="J67" s="276">
        <v>0.31200000000000006</v>
      </c>
      <c r="K67" s="277">
        <v>0.33247397260273975</v>
      </c>
      <c r="M67" s="267" t="s">
        <v>375</v>
      </c>
      <c r="Y67" s="190"/>
      <c r="Z67" s="190"/>
      <c r="AA67" s="190"/>
    </row>
    <row r="68" spans="2:27" x14ac:dyDescent="0.25">
      <c r="B68" s="272">
        <v>3360</v>
      </c>
      <c r="C68" s="307">
        <v>1.6</v>
      </c>
      <c r="D68" s="273">
        <v>0.22320000000000001</v>
      </c>
      <c r="E68" s="273">
        <v>0.26668378378378382</v>
      </c>
      <c r="F68" s="273">
        <v>0.315</v>
      </c>
      <c r="G68" s="273">
        <v>0.27063829787234051</v>
      </c>
      <c r="H68" s="273">
        <v>0.22100000000000003</v>
      </c>
      <c r="I68" s="273">
        <v>0.2862765957446809</v>
      </c>
      <c r="J68" s="273">
        <v>0.28600000000000003</v>
      </c>
      <c r="K68" s="274">
        <v>0.27997808219178089</v>
      </c>
      <c r="L68" s="292" t="s">
        <v>342</v>
      </c>
      <c r="M68" s="293" t="s">
        <v>343</v>
      </c>
      <c r="N68" s="294">
        <v>1</v>
      </c>
      <c r="Y68" s="190"/>
      <c r="Z68" s="190"/>
      <c r="AA68" s="190"/>
    </row>
    <row r="69" spans="2:27" x14ac:dyDescent="0.25">
      <c r="B69" s="275">
        <v>3780</v>
      </c>
      <c r="C69" s="308">
        <v>1.8</v>
      </c>
      <c r="D69" s="276">
        <v>0.1656</v>
      </c>
      <c r="E69" s="276">
        <v>0.24087567567567572</v>
      </c>
      <c r="F69" s="276">
        <v>0.28499999999999998</v>
      </c>
      <c r="G69" s="276">
        <v>0.23680851063829794</v>
      </c>
      <c r="H69" s="276">
        <v>0.20800000000000005</v>
      </c>
      <c r="I69" s="276">
        <v>0.26719148936170223</v>
      </c>
      <c r="J69" s="276">
        <v>0.24700000000000003</v>
      </c>
      <c r="K69" s="277">
        <v>0.25373013698630137</v>
      </c>
      <c r="L69" s="295" t="s">
        <v>348</v>
      </c>
      <c r="M69" s="296" t="s">
        <v>349</v>
      </c>
      <c r="N69" s="297">
        <v>0.95769462688388218</v>
      </c>
    </row>
    <row r="70" spans="2:27" ht="13" thickBot="1" x14ac:dyDescent="0.3">
      <c r="B70" s="289">
        <v>4200</v>
      </c>
      <c r="C70" s="311">
        <v>2</v>
      </c>
      <c r="D70" s="290">
        <v>0.1368</v>
      </c>
      <c r="E70" s="290">
        <v>0.21506756756756759</v>
      </c>
      <c r="F70" s="290">
        <v>0.24</v>
      </c>
      <c r="G70" s="290">
        <v>0.23680851063829794</v>
      </c>
      <c r="H70" s="290">
        <v>0.19500000000000001</v>
      </c>
      <c r="I70" s="290">
        <v>0.26719148936170223</v>
      </c>
      <c r="J70" s="290">
        <v>0.22100000000000003</v>
      </c>
      <c r="K70" s="291">
        <v>0.2012342465753425</v>
      </c>
      <c r="L70" s="298" t="s">
        <v>345</v>
      </c>
      <c r="M70" s="299" t="s">
        <v>346</v>
      </c>
      <c r="N70" s="300">
        <v>1</v>
      </c>
    </row>
  </sheetData>
  <mergeCells count="5">
    <mergeCell ref="M55:N55"/>
    <mergeCell ref="M1:N1"/>
    <mergeCell ref="P1:Q1"/>
    <mergeCell ref="M18:N18"/>
    <mergeCell ref="M38:N3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CC46"/>
  <sheetViews>
    <sheetView workbookViewId="0">
      <selection activeCell="P21" sqref="P21:X27"/>
    </sheetView>
  </sheetViews>
  <sheetFormatPr defaultColWidth="9.1796875" defaultRowHeight="12.5" x14ac:dyDescent="0.25"/>
  <cols>
    <col min="1" max="16384" width="9.1796875" style="258"/>
  </cols>
  <sheetData>
    <row r="1" spans="2:81" ht="15.5" x14ac:dyDescent="0.35">
      <c r="B1" s="69" t="s">
        <v>287</v>
      </c>
      <c r="C1" s="259" t="s">
        <v>288</v>
      </c>
    </row>
    <row r="2" spans="2:81" ht="13" x14ac:dyDescent="0.3">
      <c r="C2" s="121" t="s">
        <v>289</v>
      </c>
    </row>
    <row r="4" spans="2:81" ht="13" x14ac:dyDescent="0.3">
      <c r="C4" s="1" t="s">
        <v>290</v>
      </c>
      <c r="M4" s="1" t="s">
        <v>291</v>
      </c>
      <c r="W4" s="1" t="s">
        <v>292</v>
      </c>
      <c r="AG4" s="1" t="s">
        <v>293</v>
      </c>
      <c r="AQ4" s="1" t="s">
        <v>294</v>
      </c>
      <c r="BA4" s="1" t="s">
        <v>295</v>
      </c>
      <c r="BK4" s="1" t="s">
        <v>296</v>
      </c>
      <c r="BU4" s="1" t="s">
        <v>297</v>
      </c>
    </row>
    <row r="5" spans="2:81" x14ac:dyDescent="0.25">
      <c r="C5" s="122" t="s">
        <v>298</v>
      </c>
      <c r="M5" s="122" t="s">
        <v>299</v>
      </c>
      <c r="W5" s="122" t="s">
        <v>300</v>
      </c>
      <c r="AG5" s="122" t="s">
        <v>528</v>
      </c>
      <c r="AQ5" s="122" t="s">
        <v>529</v>
      </c>
      <c r="BA5" s="122" t="s">
        <v>301</v>
      </c>
      <c r="BK5" s="122" t="s">
        <v>302</v>
      </c>
      <c r="BU5" s="122" t="s">
        <v>530</v>
      </c>
    </row>
    <row r="6" spans="2:81" x14ac:dyDescent="0.25">
      <c r="C6" s="123"/>
      <c r="D6" s="46" t="s">
        <v>277</v>
      </c>
      <c r="E6" s="44" t="s">
        <v>278</v>
      </c>
      <c r="F6" s="44" t="s">
        <v>279</v>
      </c>
      <c r="G6" s="44" t="s">
        <v>280</v>
      </c>
      <c r="H6" s="44" t="s">
        <v>281</v>
      </c>
      <c r="I6" s="44" t="s">
        <v>282</v>
      </c>
      <c r="J6" s="44" t="s">
        <v>283</v>
      </c>
      <c r="K6" s="45" t="s">
        <v>284</v>
      </c>
      <c r="M6" s="123"/>
      <c r="N6" s="46" t="s">
        <v>277</v>
      </c>
      <c r="O6" s="44" t="s">
        <v>278</v>
      </c>
      <c r="P6" s="44" t="s">
        <v>279</v>
      </c>
      <c r="Q6" s="44" t="s">
        <v>280</v>
      </c>
      <c r="R6" s="44" t="s">
        <v>281</v>
      </c>
      <c r="S6" s="44" t="s">
        <v>282</v>
      </c>
      <c r="T6" s="44" t="s">
        <v>283</v>
      </c>
      <c r="U6" s="45" t="s">
        <v>284</v>
      </c>
      <c r="W6" s="123"/>
      <c r="X6" s="46" t="s">
        <v>277</v>
      </c>
      <c r="Y6" s="44" t="s">
        <v>278</v>
      </c>
      <c r="Z6" s="44" t="s">
        <v>279</v>
      </c>
      <c r="AA6" s="44" t="s">
        <v>280</v>
      </c>
      <c r="AB6" s="44" t="s">
        <v>281</v>
      </c>
      <c r="AC6" s="44" t="s">
        <v>282</v>
      </c>
      <c r="AD6" s="44" t="s">
        <v>283</v>
      </c>
      <c r="AE6" s="45" t="s">
        <v>284</v>
      </c>
      <c r="AG6" s="123"/>
      <c r="AH6" s="46" t="s">
        <v>277</v>
      </c>
      <c r="AI6" s="44" t="s">
        <v>278</v>
      </c>
      <c r="AJ6" s="44" t="s">
        <v>279</v>
      </c>
      <c r="AK6" s="44" t="s">
        <v>280</v>
      </c>
      <c r="AL6" s="44" t="s">
        <v>281</v>
      </c>
      <c r="AM6" s="44" t="s">
        <v>282</v>
      </c>
      <c r="AN6" s="44" t="s">
        <v>283</v>
      </c>
      <c r="AO6" s="45" t="s">
        <v>284</v>
      </c>
      <c r="AQ6" s="123"/>
      <c r="AR6" s="46" t="s">
        <v>277</v>
      </c>
      <c r="AS6" s="44" t="s">
        <v>278</v>
      </c>
      <c r="AT6" s="44" t="s">
        <v>279</v>
      </c>
      <c r="AU6" s="44" t="s">
        <v>280</v>
      </c>
      <c r="AV6" s="44" t="s">
        <v>281</v>
      </c>
      <c r="AW6" s="44" t="s">
        <v>282</v>
      </c>
      <c r="AX6" s="44" t="s">
        <v>283</v>
      </c>
      <c r="AY6" s="45" t="s">
        <v>284</v>
      </c>
      <c r="BA6" s="123"/>
      <c r="BB6" s="46" t="s">
        <v>277</v>
      </c>
      <c r="BC6" s="44" t="s">
        <v>278</v>
      </c>
      <c r="BD6" s="44" t="s">
        <v>279</v>
      </c>
      <c r="BE6" s="44" t="s">
        <v>280</v>
      </c>
      <c r="BF6" s="44" t="s">
        <v>281</v>
      </c>
      <c r="BG6" s="44" t="s">
        <v>282</v>
      </c>
      <c r="BH6" s="44" t="s">
        <v>283</v>
      </c>
      <c r="BI6" s="45" t="s">
        <v>284</v>
      </c>
      <c r="BK6" s="123"/>
      <c r="BL6" s="46" t="s">
        <v>277</v>
      </c>
      <c r="BM6" s="44" t="s">
        <v>278</v>
      </c>
      <c r="BN6" s="44" t="s">
        <v>279</v>
      </c>
      <c r="BO6" s="44" t="s">
        <v>280</v>
      </c>
      <c r="BP6" s="44" t="s">
        <v>281</v>
      </c>
      <c r="BQ6" s="44" t="s">
        <v>282</v>
      </c>
      <c r="BR6" s="44" t="s">
        <v>283</v>
      </c>
      <c r="BS6" s="45" t="s">
        <v>284</v>
      </c>
      <c r="BU6" s="123"/>
      <c r="BV6" s="46" t="s">
        <v>277</v>
      </c>
      <c r="BW6" s="44" t="s">
        <v>278</v>
      </c>
      <c r="BX6" s="44" t="s">
        <v>279</v>
      </c>
      <c r="BY6" s="44" t="s">
        <v>280</v>
      </c>
      <c r="BZ6" s="44" t="s">
        <v>281</v>
      </c>
      <c r="CA6" s="44" t="s">
        <v>282</v>
      </c>
      <c r="CB6" s="44" t="s">
        <v>283</v>
      </c>
      <c r="CC6" s="45" t="s">
        <v>284</v>
      </c>
    </row>
    <row r="7" spans="2:81" x14ac:dyDescent="0.25">
      <c r="B7" s="260" t="s">
        <v>303</v>
      </c>
      <c r="C7" s="47" t="s">
        <v>304</v>
      </c>
      <c r="D7" s="124">
        <v>0</v>
      </c>
      <c r="E7" s="125">
        <v>45</v>
      </c>
      <c r="F7" s="126">
        <v>90</v>
      </c>
      <c r="G7" s="125">
        <v>135</v>
      </c>
      <c r="H7" s="126">
        <v>180</v>
      </c>
      <c r="I7" s="125">
        <v>225</v>
      </c>
      <c r="J7" s="126">
        <v>270</v>
      </c>
      <c r="K7" s="127">
        <v>315</v>
      </c>
      <c r="M7" s="47" t="s">
        <v>304</v>
      </c>
      <c r="N7" s="124">
        <v>0</v>
      </c>
      <c r="O7" s="125">
        <v>45</v>
      </c>
      <c r="P7" s="126">
        <v>90</v>
      </c>
      <c r="Q7" s="125">
        <v>135</v>
      </c>
      <c r="R7" s="126">
        <v>180</v>
      </c>
      <c r="S7" s="125">
        <v>225</v>
      </c>
      <c r="T7" s="126">
        <v>270</v>
      </c>
      <c r="U7" s="127">
        <v>315</v>
      </c>
      <c r="W7" s="47" t="s">
        <v>304</v>
      </c>
      <c r="X7" s="124">
        <v>0</v>
      </c>
      <c r="Y7" s="125">
        <v>45</v>
      </c>
      <c r="Z7" s="126">
        <v>90</v>
      </c>
      <c r="AA7" s="125">
        <v>135</v>
      </c>
      <c r="AB7" s="126">
        <v>180</v>
      </c>
      <c r="AC7" s="125">
        <v>225</v>
      </c>
      <c r="AD7" s="126">
        <v>270</v>
      </c>
      <c r="AE7" s="127">
        <v>315</v>
      </c>
      <c r="AG7" s="47" t="s">
        <v>304</v>
      </c>
      <c r="AH7" s="124">
        <v>0</v>
      </c>
      <c r="AI7" s="125">
        <v>45</v>
      </c>
      <c r="AJ7" s="126">
        <v>90</v>
      </c>
      <c r="AK7" s="125">
        <v>135</v>
      </c>
      <c r="AL7" s="126">
        <v>180</v>
      </c>
      <c r="AM7" s="125">
        <v>225</v>
      </c>
      <c r="AN7" s="126">
        <v>270</v>
      </c>
      <c r="AO7" s="127">
        <v>315</v>
      </c>
      <c r="AQ7" s="47" t="s">
        <v>304</v>
      </c>
      <c r="AR7" s="124">
        <v>0</v>
      </c>
      <c r="AS7" s="125">
        <v>45</v>
      </c>
      <c r="AT7" s="126">
        <v>90</v>
      </c>
      <c r="AU7" s="125">
        <v>135</v>
      </c>
      <c r="AV7" s="126">
        <v>180</v>
      </c>
      <c r="AW7" s="125">
        <v>225</v>
      </c>
      <c r="AX7" s="126">
        <v>270</v>
      </c>
      <c r="AY7" s="127">
        <v>315</v>
      </c>
      <c r="BA7" s="47" t="s">
        <v>304</v>
      </c>
      <c r="BB7" s="124">
        <v>0</v>
      </c>
      <c r="BC7" s="125">
        <v>45</v>
      </c>
      <c r="BD7" s="126">
        <v>90</v>
      </c>
      <c r="BE7" s="125">
        <v>135</v>
      </c>
      <c r="BF7" s="126">
        <v>180</v>
      </c>
      <c r="BG7" s="125">
        <v>225</v>
      </c>
      <c r="BH7" s="126">
        <v>270</v>
      </c>
      <c r="BI7" s="127">
        <v>315</v>
      </c>
      <c r="BK7" s="47" t="s">
        <v>304</v>
      </c>
      <c r="BL7" s="124">
        <v>0</v>
      </c>
      <c r="BM7" s="125">
        <v>45</v>
      </c>
      <c r="BN7" s="126">
        <v>90</v>
      </c>
      <c r="BO7" s="125">
        <v>135</v>
      </c>
      <c r="BP7" s="126">
        <v>180</v>
      </c>
      <c r="BQ7" s="125">
        <v>225</v>
      </c>
      <c r="BR7" s="126">
        <v>270</v>
      </c>
      <c r="BS7" s="127">
        <v>315</v>
      </c>
      <c r="BU7" s="47" t="s">
        <v>304</v>
      </c>
      <c r="BV7" s="124">
        <v>0</v>
      </c>
      <c r="BW7" s="125">
        <v>45</v>
      </c>
      <c r="BX7" s="126">
        <v>90</v>
      </c>
      <c r="BY7" s="125">
        <v>135</v>
      </c>
      <c r="BZ7" s="126">
        <v>180</v>
      </c>
      <c r="CA7" s="125">
        <v>225</v>
      </c>
      <c r="CB7" s="126">
        <v>270</v>
      </c>
      <c r="CC7" s="127">
        <v>315</v>
      </c>
    </row>
    <row r="8" spans="2:81" ht="13" x14ac:dyDescent="0.3">
      <c r="B8" s="261">
        <f t="shared" ref="B8:B20" si="0">B$65*C8</f>
        <v>0</v>
      </c>
      <c r="C8" s="63">
        <v>0</v>
      </c>
      <c r="D8" s="51">
        <v>0.52</v>
      </c>
      <c r="E8" s="61">
        <v>0.84</v>
      </c>
      <c r="F8" s="52">
        <v>1.29</v>
      </c>
      <c r="G8" s="61">
        <v>1.24</v>
      </c>
      <c r="H8" s="52">
        <v>0.87</v>
      </c>
      <c r="I8" s="61">
        <v>1.27</v>
      </c>
      <c r="J8" s="52">
        <v>1.32</v>
      </c>
      <c r="K8" s="62">
        <v>0.85</v>
      </c>
      <c r="M8" s="57">
        <v>0</v>
      </c>
      <c r="N8" s="51">
        <v>0.72</v>
      </c>
      <c r="O8" s="61">
        <v>1.05</v>
      </c>
      <c r="P8" s="52">
        <v>1.22</v>
      </c>
      <c r="Q8" s="61">
        <v>1.04</v>
      </c>
      <c r="R8" s="52">
        <v>0.72</v>
      </c>
      <c r="S8" s="61">
        <v>1.1200000000000001</v>
      </c>
      <c r="T8" s="52">
        <v>1.34</v>
      </c>
      <c r="U8" s="62">
        <v>1.1100000000000001</v>
      </c>
      <c r="W8" s="57">
        <v>0</v>
      </c>
      <c r="X8" s="51">
        <v>0.56000000000000005</v>
      </c>
      <c r="Y8" s="61">
        <v>1.04</v>
      </c>
      <c r="Z8" s="52">
        <v>1.42</v>
      </c>
      <c r="AA8" s="61">
        <v>1.18</v>
      </c>
      <c r="AB8" s="52">
        <v>0.66</v>
      </c>
      <c r="AC8" s="61">
        <v>1.1599999999999999</v>
      </c>
      <c r="AD8" s="52">
        <v>1.36</v>
      </c>
      <c r="AE8" s="62">
        <v>1.01</v>
      </c>
      <c r="AG8" s="57">
        <v>0</v>
      </c>
      <c r="AH8" s="51">
        <v>0.72</v>
      </c>
      <c r="AI8" s="61">
        <v>1.19</v>
      </c>
      <c r="AJ8" s="52">
        <v>1.4</v>
      </c>
      <c r="AK8" s="61">
        <v>1.05</v>
      </c>
      <c r="AL8" s="52">
        <v>0.56999999999999995</v>
      </c>
      <c r="AM8" s="61">
        <v>0.99</v>
      </c>
      <c r="AN8" s="52">
        <v>1.31</v>
      </c>
      <c r="AO8" s="62">
        <v>1.1200000000000001</v>
      </c>
      <c r="AQ8" s="57">
        <v>0</v>
      </c>
      <c r="AR8" s="51">
        <v>0.82</v>
      </c>
      <c r="AS8" s="61">
        <v>1.0900000000000001</v>
      </c>
      <c r="AT8" s="52">
        <v>1.19</v>
      </c>
      <c r="AU8" s="61">
        <v>0.96</v>
      </c>
      <c r="AV8" s="52">
        <v>0.68</v>
      </c>
      <c r="AW8" s="61">
        <v>1.04</v>
      </c>
      <c r="AX8" s="52">
        <v>1.3</v>
      </c>
      <c r="AY8" s="62">
        <v>1.1599999999999999</v>
      </c>
      <c r="BA8" s="57">
        <v>0</v>
      </c>
      <c r="BB8" s="51">
        <v>0.84</v>
      </c>
      <c r="BC8" s="61">
        <v>1.08</v>
      </c>
      <c r="BD8" s="52">
        <v>1.1499999999999999</v>
      </c>
      <c r="BE8" s="61">
        <v>0.87</v>
      </c>
      <c r="BF8" s="52">
        <v>0.61</v>
      </c>
      <c r="BG8" s="61">
        <v>1.05</v>
      </c>
      <c r="BH8" s="52">
        <v>1.4</v>
      </c>
      <c r="BI8" s="62">
        <v>1.24</v>
      </c>
      <c r="BK8" s="57">
        <v>0</v>
      </c>
      <c r="BL8" s="51">
        <v>0.96</v>
      </c>
      <c r="BM8" s="61">
        <v>1.17</v>
      </c>
      <c r="BN8" s="52">
        <v>1.21</v>
      </c>
      <c r="BO8" s="61">
        <v>0.94</v>
      </c>
      <c r="BP8" s="52">
        <v>0.64</v>
      </c>
      <c r="BQ8" s="61">
        <v>0.91</v>
      </c>
      <c r="BR8" s="52">
        <v>1.19</v>
      </c>
      <c r="BS8" s="62">
        <v>1.18</v>
      </c>
      <c r="BU8" s="57">
        <v>0</v>
      </c>
      <c r="BV8" s="51">
        <v>0.85</v>
      </c>
      <c r="BW8" s="61">
        <v>1.1200000000000001</v>
      </c>
      <c r="BX8" s="52">
        <v>1.2</v>
      </c>
      <c r="BY8" s="61">
        <v>0.96</v>
      </c>
      <c r="BZ8" s="52">
        <v>0.68</v>
      </c>
      <c r="CA8" s="61">
        <v>1.01</v>
      </c>
      <c r="CB8" s="52">
        <v>1.27</v>
      </c>
      <c r="CC8" s="62">
        <v>1.1599999999999999</v>
      </c>
    </row>
    <row r="9" spans="2:81" x14ac:dyDescent="0.25">
      <c r="B9" s="261">
        <f t="shared" si="0"/>
        <v>0</v>
      </c>
      <c r="C9" s="128">
        <v>0.05</v>
      </c>
      <c r="D9" s="89">
        <v>0.44</v>
      </c>
      <c r="E9" s="90">
        <v>0.74</v>
      </c>
      <c r="F9" s="91">
        <v>1.19</v>
      </c>
      <c r="G9" s="90">
        <v>1.1299999999999999</v>
      </c>
      <c r="H9" s="91">
        <v>0.75</v>
      </c>
      <c r="I9" s="90">
        <v>1.17</v>
      </c>
      <c r="J9" s="91">
        <v>1.23</v>
      </c>
      <c r="K9" s="92">
        <v>0.75</v>
      </c>
      <c r="M9" s="129">
        <v>0.05</v>
      </c>
      <c r="N9" s="89">
        <v>0.6</v>
      </c>
      <c r="O9" s="90">
        <v>0.92</v>
      </c>
      <c r="P9" s="91">
        <v>1.1000000000000001</v>
      </c>
      <c r="Q9" s="90">
        <v>0.92</v>
      </c>
      <c r="R9" s="91">
        <v>0.6</v>
      </c>
      <c r="S9" s="90">
        <v>1.01</v>
      </c>
      <c r="T9" s="91">
        <v>1.23</v>
      </c>
      <c r="U9" s="92">
        <v>0.99</v>
      </c>
      <c r="W9" s="129">
        <v>0.05</v>
      </c>
      <c r="X9" s="89">
        <v>0.47</v>
      </c>
      <c r="Y9" s="90">
        <v>0.94</v>
      </c>
      <c r="Z9" s="91">
        <v>1.32</v>
      </c>
      <c r="AA9" s="90">
        <v>1.08</v>
      </c>
      <c r="AB9" s="91">
        <v>0.56999999999999995</v>
      </c>
      <c r="AC9" s="90">
        <v>1.05</v>
      </c>
      <c r="AD9" s="91">
        <v>1.26</v>
      </c>
      <c r="AE9" s="92">
        <v>0.9</v>
      </c>
      <c r="AG9" s="129">
        <v>0.05</v>
      </c>
      <c r="AH9" s="89">
        <v>0.61</v>
      </c>
      <c r="AI9" s="90">
        <v>1.1000000000000001</v>
      </c>
      <c r="AJ9" s="91">
        <v>1.31</v>
      </c>
      <c r="AK9" s="90">
        <v>0.97</v>
      </c>
      <c r="AL9" s="91">
        <v>0.49</v>
      </c>
      <c r="AM9" s="90">
        <v>0.91</v>
      </c>
      <c r="AN9" s="91">
        <v>1.22</v>
      </c>
      <c r="AO9" s="92">
        <v>1.02</v>
      </c>
      <c r="AQ9" s="129">
        <v>0.05</v>
      </c>
      <c r="AR9" s="89">
        <v>0.69</v>
      </c>
      <c r="AS9" s="90">
        <v>0.96</v>
      </c>
      <c r="AT9" s="91">
        <v>1.07</v>
      </c>
      <c r="AU9" s="90">
        <v>0.85</v>
      </c>
      <c r="AV9" s="91">
        <v>0.56999999999999995</v>
      </c>
      <c r="AW9" s="90">
        <v>0.92</v>
      </c>
      <c r="AX9" s="91">
        <v>1.19</v>
      </c>
      <c r="AY9" s="92">
        <v>1.04</v>
      </c>
      <c r="BA9" s="129">
        <v>0.05</v>
      </c>
      <c r="BB9" s="89">
        <v>0.71</v>
      </c>
      <c r="BC9" s="90">
        <v>0.97</v>
      </c>
      <c r="BD9" s="91">
        <v>1.05</v>
      </c>
      <c r="BE9" s="90">
        <v>0.78</v>
      </c>
      <c r="BF9" s="91">
        <v>0.52</v>
      </c>
      <c r="BG9" s="90">
        <v>0.96</v>
      </c>
      <c r="BH9" s="91">
        <v>1.3</v>
      </c>
      <c r="BI9" s="92">
        <v>1.1299999999999999</v>
      </c>
      <c r="BK9" s="129">
        <v>0.05</v>
      </c>
      <c r="BL9" s="89">
        <v>0.83</v>
      </c>
      <c r="BM9" s="90">
        <v>1.05</v>
      </c>
      <c r="BN9" s="91">
        <v>1.1000000000000001</v>
      </c>
      <c r="BO9" s="90">
        <v>0.83</v>
      </c>
      <c r="BP9" s="91">
        <v>0.54</v>
      </c>
      <c r="BQ9" s="90">
        <v>0.81</v>
      </c>
      <c r="BR9" s="91">
        <v>1.0900000000000001</v>
      </c>
      <c r="BS9" s="92">
        <v>1.07</v>
      </c>
      <c r="BU9" s="129">
        <v>0.05</v>
      </c>
      <c r="BV9" s="89">
        <v>0.71</v>
      </c>
      <c r="BW9" s="90">
        <v>0.99</v>
      </c>
      <c r="BX9" s="91">
        <v>1.0900000000000001</v>
      </c>
      <c r="BY9" s="90">
        <v>0.85</v>
      </c>
      <c r="BZ9" s="91">
        <v>0.56999999999999995</v>
      </c>
      <c r="CA9" s="90">
        <v>0.9</v>
      </c>
      <c r="CB9" s="91">
        <v>1.1599999999999999</v>
      </c>
      <c r="CC9" s="92">
        <v>1.04</v>
      </c>
    </row>
    <row r="10" spans="2:81" x14ac:dyDescent="0.25">
      <c r="B10" s="261">
        <f t="shared" si="0"/>
        <v>0</v>
      </c>
      <c r="C10" s="128">
        <v>0.1</v>
      </c>
      <c r="D10" s="89">
        <v>0.41</v>
      </c>
      <c r="E10" s="90">
        <v>0.68</v>
      </c>
      <c r="F10" s="91">
        <v>1.1100000000000001</v>
      </c>
      <c r="G10" s="90">
        <v>1.07</v>
      </c>
      <c r="H10" s="91">
        <v>0.68</v>
      </c>
      <c r="I10" s="90">
        <v>1.0900000000000001</v>
      </c>
      <c r="J10" s="91">
        <v>1.1499999999999999</v>
      </c>
      <c r="K10" s="92">
        <v>0.69</v>
      </c>
      <c r="M10" s="129">
        <v>0.1</v>
      </c>
      <c r="N10" s="89">
        <v>0.55000000000000004</v>
      </c>
      <c r="O10" s="90">
        <v>0.85</v>
      </c>
      <c r="P10" s="91">
        <v>1.04</v>
      </c>
      <c r="Q10" s="90">
        <v>0.86</v>
      </c>
      <c r="R10" s="91">
        <v>0.56999999999999995</v>
      </c>
      <c r="S10" s="90">
        <v>0.94</v>
      </c>
      <c r="T10" s="91">
        <v>1.1399999999999999</v>
      </c>
      <c r="U10" s="92">
        <v>0.9</v>
      </c>
      <c r="W10" s="129">
        <v>0.1</v>
      </c>
      <c r="X10" s="89">
        <v>0.44</v>
      </c>
      <c r="Y10" s="90">
        <v>0.85</v>
      </c>
      <c r="Z10" s="91">
        <v>1.25</v>
      </c>
      <c r="AA10" s="90">
        <v>1.02</v>
      </c>
      <c r="AB10" s="91">
        <v>0.54</v>
      </c>
      <c r="AC10" s="90">
        <v>0.99</v>
      </c>
      <c r="AD10" s="91">
        <v>1.19</v>
      </c>
      <c r="AE10" s="92">
        <v>0.83</v>
      </c>
      <c r="AG10" s="129">
        <v>0.1</v>
      </c>
      <c r="AH10" s="89">
        <v>0.56000000000000005</v>
      </c>
      <c r="AI10" s="90">
        <v>1</v>
      </c>
      <c r="AJ10" s="91">
        <v>1.24</v>
      </c>
      <c r="AK10" s="90">
        <v>0.91</v>
      </c>
      <c r="AL10" s="91">
        <v>0.46</v>
      </c>
      <c r="AM10" s="90">
        <v>0.85</v>
      </c>
      <c r="AN10" s="91">
        <v>1.17</v>
      </c>
      <c r="AO10" s="92">
        <v>0.94</v>
      </c>
      <c r="AQ10" s="129">
        <v>0.1</v>
      </c>
      <c r="AR10" s="89">
        <v>0.63</v>
      </c>
      <c r="AS10" s="90">
        <v>0.88</v>
      </c>
      <c r="AT10" s="91">
        <v>1.01</v>
      </c>
      <c r="AU10" s="90">
        <v>0.79</v>
      </c>
      <c r="AV10" s="91">
        <v>0.54</v>
      </c>
      <c r="AW10" s="90">
        <v>0.86</v>
      </c>
      <c r="AX10" s="91">
        <v>1.1100000000000001</v>
      </c>
      <c r="AY10" s="92">
        <v>0.94</v>
      </c>
      <c r="BA10" s="129">
        <v>0.1</v>
      </c>
      <c r="BB10" s="89">
        <v>0.65</v>
      </c>
      <c r="BC10" s="90">
        <v>0.9</v>
      </c>
      <c r="BD10" s="91">
        <v>0.99</v>
      </c>
      <c r="BE10" s="90">
        <v>0.74</v>
      </c>
      <c r="BF10" s="91">
        <v>0.49</v>
      </c>
      <c r="BG10" s="90">
        <v>0.91</v>
      </c>
      <c r="BH10" s="91">
        <v>1.25</v>
      </c>
      <c r="BI10" s="92">
        <v>1.04</v>
      </c>
      <c r="BK10" s="129">
        <v>0.1</v>
      </c>
      <c r="BL10" s="89">
        <v>0.76</v>
      </c>
      <c r="BM10" s="90">
        <v>0.97</v>
      </c>
      <c r="BN10" s="91">
        <v>1.04</v>
      </c>
      <c r="BO10" s="90">
        <v>0.8</v>
      </c>
      <c r="BP10" s="91">
        <v>0.51</v>
      </c>
      <c r="BQ10" s="90">
        <v>0.76</v>
      </c>
      <c r="BR10" s="91">
        <v>1.03</v>
      </c>
      <c r="BS10" s="92">
        <v>0.98</v>
      </c>
      <c r="BU10" s="129">
        <v>0.1</v>
      </c>
      <c r="BV10" s="89">
        <v>0.65</v>
      </c>
      <c r="BW10" s="90">
        <v>0.9</v>
      </c>
      <c r="BX10" s="91">
        <v>1.02</v>
      </c>
      <c r="BY10" s="90">
        <v>0.79</v>
      </c>
      <c r="BZ10" s="91">
        <v>0.54</v>
      </c>
      <c r="CA10" s="90">
        <v>0.84</v>
      </c>
      <c r="CB10" s="91">
        <v>1.0900000000000001</v>
      </c>
      <c r="CC10" s="92">
        <v>0.95</v>
      </c>
    </row>
    <row r="11" spans="2:81" x14ac:dyDescent="0.25">
      <c r="B11" s="261">
        <f t="shared" si="0"/>
        <v>0</v>
      </c>
      <c r="C11" s="128">
        <v>0.2</v>
      </c>
      <c r="D11" s="89">
        <v>0.37</v>
      </c>
      <c r="E11" s="90">
        <v>0.59</v>
      </c>
      <c r="F11" s="91">
        <v>1.01</v>
      </c>
      <c r="G11" s="90">
        <v>0.94</v>
      </c>
      <c r="H11" s="91">
        <v>0.55000000000000004</v>
      </c>
      <c r="I11" s="90">
        <v>0.94</v>
      </c>
      <c r="J11" s="91">
        <v>1</v>
      </c>
      <c r="K11" s="92">
        <v>0.6</v>
      </c>
      <c r="M11" s="129">
        <v>0.2</v>
      </c>
      <c r="N11" s="89">
        <v>0.47</v>
      </c>
      <c r="O11" s="90">
        <v>0.74</v>
      </c>
      <c r="P11" s="91">
        <v>0.92</v>
      </c>
      <c r="Q11" s="90">
        <v>0.76</v>
      </c>
      <c r="R11" s="91">
        <v>0.5</v>
      </c>
      <c r="S11" s="90">
        <v>0.84</v>
      </c>
      <c r="T11" s="91">
        <v>1</v>
      </c>
      <c r="U11" s="92">
        <v>0.78</v>
      </c>
      <c r="W11" s="129">
        <v>0.2</v>
      </c>
      <c r="X11" s="89">
        <v>0.38</v>
      </c>
      <c r="Y11" s="90">
        <v>0.73</v>
      </c>
      <c r="Z11" s="91">
        <v>1.1000000000000001</v>
      </c>
      <c r="AA11" s="90">
        <v>0.9</v>
      </c>
      <c r="AB11" s="91">
        <v>0.46</v>
      </c>
      <c r="AC11" s="90">
        <v>0.87</v>
      </c>
      <c r="AD11" s="91">
        <v>1.06</v>
      </c>
      <c r="AE11" s="92">
        <v>0.73</v>
      </c>
      <c r="AG11" s="129">
        <v>0.2</v>
      </c>
      <c r="AH11" s="89">
        <v>0.43</v>
      </c>
      <c r="AI11" s="90">
        <v>0.87</v>
      </c>
      <c r="AJ11" s="91">
        <v>1.1200000000000001</v>
      </c>
      <c r="AK11" s="90">
        <v>0.82</v>
      </c>
      <c r="AL11" s="91">
        <v>0.41</v>
      </c>
      <c r="AM11" s="90">
        <v>0.76</v>
      </c>
      <c r="AN11" s="91">
        <v>1.05</v>
      </c>
      <c r="AO11" s="92">
        <v>0.81</v>
      </c>
      <c r="AQ11" s="129">
        <v>0.2</v>
      </c>
      <c r="AR11" s="89">
        <v>0.51</v>
      </c>
      <c r="AS11" s="90">
        <v>0.76</v>
      </c>
      <c r="AT11" s="91">
        <v>0.89</v>
      </c>
      <c r="AU11" s="90">
        <v>0.7</v>
      </c>
      <c r="AV11" s="91">
        <v>0.48</v>
      </c>
      <c r="AW11" s="90">
        <v>0.76</v>
      </c>
      <c r="AX11" s="91">
        <v>0.99</v>
      </c>
      <c r="AY11" s="92">
        <v>0.83</v>
      </c>
      <c r="BA11" s="129">
        <v>0.2</v>
      </c>
      <c r="BB11" s="89">
        <v>0.52</v>
      </c>
      <c r="BC11" s="90">
        <v>0.77</v>
      </c>
      <c r="BD11" s="91">
        <v>0.88</v>
      </c>
      <c r="BE11" s="90">
        <v>0.65</v>
      </c>
      <c r="BF11" s="91">
        <v>0.44</v>
      </c>
      <c r="BG11" s="90">
        <v>0.82</v>
      </c>
      <c r="BH11" s="91">
        <v>1.1200000000000001</v>
      </c>
      <c r="BI11" s="92">
        <v>0.91</v>
      </c>
      <c r="BK11" s="129">
        <v>0.2</v>
      </c>
      <c r="BL11" s="89">
        <v>0.62</v>
      </c>
      <c r="BM11" s="90">
        <v>0.85</v>
      </c>
      <c r="BN11" s="91">
        <v>0.93</v>
      </c>
      <c r="BO11" s="90">
        <v>0.7</v>
      </c>
      <c r="BP11" s="91">
        <v>0.45</v>
      </c>
      <c r="BQ11" s="90">
        <v>0.68</v>
      </c>
      <c r="BR11" s="91">
        <v>0.91</v>
      </c>
      <c r="BS11" s="92">
        <v>0.86</v>
      </c>
      <c r="BU11" s="129">
        <v>0.2</v>
      </c>
      <c r="BV11" s="89">
        <v>0.52</v>
      </c>
      <c r="BW11" s="90">
        <v>0.79</v>
      </c>
      <c r="BX11" s="91">
        <v>0.9</v>
      </c>
      <c r="BY11" s="90">
        <v>0.7</v>
      </c>
      <c r="BZ11" s="91">
        <v>0.48</v>
      </c>
      <c r="CA11" s="90">
        <v>0.73</v>
      </c>
      <c r="CB11" s="91">
        <v>0.98</v>
      </c>
      <c r="CC11" s="92">
        <v>0.83</v>
      </c>
    </row>
    <row r="12" spans="2:81" x14ac:dyDescent="0.25">
      <c r="B12" s="261">
        <f t="shared" si="0"/>
        <v>0</v>
      </c>
      <c r="C12" s="128">
        <v>0.4</v>
      </c>
      <c r="D12" s="89">
        <v>0.3</v>
      </c>
      <c r="E12" s="90">
        <v>0.45</v>
      </c>
      <c r="F12" s="91">
        <v>0.79</v>
      </c>
      <c r="G12" s="90">
        <v>0.69</v>
      </c>
      <c r="H12" s="91">
        <v>0.42</v>
      </c>
      <c r="I12" s="90">
        <v>0.75</v>
      </c>
      <c r="J12" s="91">
        <v>0.83</v>
      </c>
      <c r="K12" s="92">
        <v>0.47</v>
      </c>
      <c r="M12" s="129">
        <v>0.4</v>
      </c>
      <c r="N12" s="89">
        <v>0.39</v>
      </c>
      <c r="O12" s="90">
        <v>0.56000000000000005</v>
      </c>
      <c r="P12" s="91">
        <v>0.73</v>
      </c>
      <c r="Q12" s="90">
        <v>0.61</v>
      </c>
      <c r="R12" s="91">
        <v>0.4</v>
      </c>
      <c r="S12" s="90">
        <v>0.67</v>
      </c>
      <c r="T12" s="91">
        <v>0.83</v>
      </c>
      <c r="U12" s="92">
        <v>0.6</v>
      </c>
      <c r="W12" s="129">
        <v>0.4</v>
      </c>
      <c r="X12" s="89">
        <v>0.32</v>
      </c>
      <c r="Y12" s="90">
        <v>0.56000000000000005</v>
      </c>
      <c r="Z12" s="91">
        <v>0.88</v>
      </c>
      <c r="AA12" s="90">
        <v>0.71</v>
      </c>
      <c r="AB12" s="91">
        <v>0.38</v>
      </c>
      <c r="AC12" s="90">
        <v>0.72</v>
      </c>
      <c r="AD12" s="91">
        <v>0.84</v>
      </c>
      <c r="AE12" s="92">
        <v>0.56000000000000005</v>
      </c>
      <c r="AG12" s="129">
        <v>0.4</v>
      </c>
      <c r="AH12" s="89">
        <v>0.3</v>
      </c>
      <c r="AI12" s="90">
        <v>0.66</v>
      </c>
      <c r="AJ12" s="91">
        <v>0.92</v>
      </c>
      <c r="AK12" s="90">
        <v>0.67</v>
      </c>
      <c r="AL12" s="91">
        <v>0.34</v>
      </c>
      <c r="AM12" s="90">
        <v>0.62</v>
      </c>
      <c r="AN12" s="91">
        <v>0.85</v>
      </c>
      <c r="AO12" s="92">
        <v>0.62</v>
      </c>
      <c r="AQ12" s="129">
        <v>0.4</v>
      </c>
      <c r="AR12" s="89">
        <v>0.39</v>
      </c>
      <c r="AS12" s="90">
        <v>0.57999999999999996</v>
      </c>
      <c r="AT12" s="91">
        <v>0.71</v>
      </c>
      <c r="AU12" s="90">
        <v>0.56999999999999995</v>
      </c>
      <c r="AV12" s="91">
        <v>0.38</v>
      </c>
      <c r="AW12" s="90">
        <v>0.62</v>
      </c>
      <c r="AX12" s="91">
        <v>0.81</v>
      </c>
      <c r="AY12" s="92">
        <v>0.62</v>
      </c>
      <c r="BA12" s="129">
        <v>0.4</v>
      </c>
      <c r="BB12" s="89">
        <v>0.36</v>
      </c>
      <c r="BC12" s="90">
        <v>0.57999999999999996</v>
      </c>
      <c r="BD12" s="91">
        <v>0.71</v>
      </c>
      <c r="BE12" s="90">
        <v>0.54</v>
      </c>
      <c r="BF12" s="91">
        <v>0.36</v>
      </c>
      <c r="BG12" s="90">
        <v>0.67</v>
      </c>
      <c r="BH12" s="91">
        <v>0.9</v>
      </c>
      <c r="BI12" s="92">
        <v>0.69</v>
      </c>
      <c r="BK12" s="129">
        <v>0.4</v>
      </c>
      <c r="BL12" s="89">
        <v>0.4</v>
      </c>
      <c r="BM12" s="90">
        <v>0.65</v>
      </c>
      <c r="BN12" s="91">
        <v>0.76</v>
      </c>
      <c r="BO12" s="90">
        <v>0.57999999999999996</v>
      </c>
      <c r="BP12" s="91">
        <v>0.38</v>
      </c>
      <c r="BQ12" s="90">
        <v>0.55000000000000004</v>
      </c>
      <c r="BR12" s="91">
        <v>0.74</v>
      </c>
      <c r="BS12" s="92">
        <v>0.64</v>
      </c>
      <c r="BU12" s="129">
        <v>0.4</v>
      </c>
      <c r="BV12" s="89">
        <v>0.39</v>
      </c>
      <c r="BW12" s="90">
        <v>0.6</v>
      </c>
      <c r="BX12" s="91">
        <v>0.73</v>
      </c>
      <c r="BY12" s="90">
        <v>0.56999999999999995</v>
      </c>
      <c r="BZ12" s="91">
        <v>0.39</v>
      </c>
      <c r="CA12" s="90">
        <v>0.61</v>
      </c>
      <c r="CB12" s="91">
        <v>0.79</v>
      </c>
      <c r="CC12" s="92">
        <v>0.63</v>
      </c>
    </row>
    <row r="13" spans="2:81" x14ac:dyDescent="0.25">
      <c r="B13" s="261">
        <f t="shared" si="0"/>
        <v>0</v>
      </c>
      <c r="C13" s="128">
        <v>0.6</v>
      </c>
      <c r="D13" s="89">
        <v>0.25</v>
      </c>
      <c r="E13" s="90">
        <v>0.37</v>
      </c>
      <c r="F13" s="91">
        <v>0.66</v>
      </c>
      <c r="G13" s="90">
        <v>0.59</v>
      </c>
      <c r="H13" s="91">
        <v>0.34</v>
      </c>
      <c r="I13" s="90">
        <v>0.6</v>
      </c>
      <c r="J13" s="91">
        <v>0.66</v>
      </c>
      <c r="K13" s="92">
        <v>0.38</v>
      </c>
      <c r="M13" s="129">
        <v>0.6</v>
      </c>
      <c r="N13" s="89">
        <v>0.33</v>
      </c>
      <c r="O13" s="90">
        <v>0.44</v>
      </c>
      <c r="P13" s="91">
        <v>0.6</v>
      </c>
      <c r="Q13" s="90">
        <v>0.49</v>
      </c>
      <c r="R13" s="91">
        <v>0.33</v>
      </c>
      <c r="S13" s="90">
        <v>0.55000000000000004</v>
      </c>
      <c r="T13" s="91">
        <v>0.67</v>
      </c>
      <c r="U13" s="92">
        <v>0.45</v>
      </c>
      <c r="W13" s="129">
        <v>0.6</v>
      </c>
      <c r="X13" s="89">
        <v>0.28000000000000003</v>
      </c>
      <c r="Y13" s="90">
        <v>0.43</v>
      </c>
      <c r="Z13" s="91">
        <v>0.74</v>
      </c>
      <c r="AA13" s="90">
        <v>0.57999999999999996</v>
      </c>
      <c r="AB13" s="91">
        <v>0.31</v>
      </c>
      <c r="AC13" s="90">
        <v>0.56999999999999995</v>
      </c>
      <c r="AD13" s="91">
        <v>0.71</v>
      </c>
      <c r="AE13" s="92">
        <v>0.44</v>
      </c>
      <c r="AG13" s="129">
        <v>0.6</v>
      </c>
      <c r="AH13" s="89">
        <v>0.27</v>
      </c>
      <c r="AI13" s="90">
        <v>0.5</v>
      </c>
      <c r="AJ13" s="91">
        <v>0.74</v>
      </c>
      <c r="AK13" s="90">
        <v>0.56000000000000005</v>
      </c>
      <c r="AL13" s="91">
        <v>0.28999999999999998</v>
      </c>
      <c r="AM13" s="90">
        <v>0.53</v>
      </c>
      <c r="AN13" s="91">
        <v>0.72</v>
      </c>
      <c r="AO13" s="92">
        <v>0.45</v>
      </c>
      <c r="AQ13" s="129">
        <v>0.6</v>
      </c>
      <c r="AR13" s="89">
        <v>0.35</v>
      </c>
      <c r="AS13" s="90">
        <v>0.46</v>
      </c>
      <c r="AT13" s="91">
        <v>0.57999999999999996</v>
      </c>
      <c r="AU13" s="90">
        <v>0.47</v>
      </c>
      <c r="AV13" s="91">
        <v>0.33</v>
      </c>
      <c r="AW13" s="90">
        <v>0.51</v>
      </c>
      <c r="AX13" s="91">
        <v>0.65</v>
      </c>
      <c r="AY13" s="92">
        <v>0.48</v>
      </c>
      <c r="BA13" s="129">
        <v>0.6</v>
      </c>
      <c r="BB13" s="89">
        <v>0.3</v>
      </c>
      <c r="BC13" s="90">
        <v>0.43</v>
      </c>
      <c r="BD13" s="91">
        <v>0.61</v>
      </c>
      <c r="BE13" s="90">
        <v>0.45</v>
      </c>
      <c r="BF13" s="91">
        <v>0.31</v>
      </c>
      <c r="BG13" s="90">
        <v>0.57999999999999996</v>
      </c>
      <c r="BH13" s="91">
        <v>0.76</v>
      </c>
      <c r="BI13" s="92">
        <v>0.51</v>
      </c>
      <c r="BK13" s="129">
        <v>0.6</v>
      </c>
      <c r="BL13" s="89">
        <v>0.32</v>
      </c>
      <c r="BM13" s="90">
        <v>0.51</v>
      </c>
      <c r="BN13" s="91">
        <v>0.65</v>
      </c>
      <c r="BO13" s="90">
        <v>0.5</v>
      </c>
      <c r="BP13" s="91">
        <v>0.33</v>
      </c>
      <c r="BQ13" s="90">
        <v>0.47</v>
      </c>
      <c r="BR13" s="91">
        <v>0.63</v>
      </c>
      <c r="BS13" s="92">
        <v>0.51</v>
      </c>
      <c r="BU13" s="129">
        <v>0.6</v>
      </c>
      <c r="BV13" s="89">
        <v>0.34</v>
      </c>
      <c r="BW13" s="90">
        <v>0.46</v>
      </c>
      <c r="BX13" s="91">
        <v>0.6</v>
      </c>
      <c r="BY13" s="90">
        <v>0.48</v>
      </c>
      <c r="BZ13" s="91">
        <v>0.33</v>
      </c>
      <c r="CA13" s="90">
        <v>0.5</v>
      </c>
      <c r="CB13" s="91">
        <v>0.66</v>
      </c>
      <c r="CC13" s="92">
        <v>0.49</v>
      </c>
    </row>
    <row r="14" spans="2:81" x14ac:dyDescent="0.25">
      <c r="B14" s="261">
        <f t="shared" si="0"/>
        <v>0</v>
      </c>
      <c r="C14" s="128">
        <v>0.8</v>
      </c>
      <c r="D14" s="89">
        <v>0.22</v>
      </c>
      <c r="E14" s="90">
        <v>0.31</v>
      </c>
      <c r="F14" s="91">
        <v>0.53</v>
      </c>
      <c r="G14" s="90">
        <v>0.47</v>
      </c>
      <c r="H14" s="91">
        <v>0.3</v>
      </c>
      <c r="I14" s="90">
        <v>0.52</v>
      </c>
      <c r="J14" s="91">
        <v>0.57999999999999996</v>
      </c>
      <c r="K14" s="92">
        <v>0.32</v>
      </c>
      <c r="M14" s="129">
        <v>0.8</v>
      </c>
      <c r="N14" s="89">
        <v>0.28999999999999998</v>
      </c>
      <c r="O14" s="90">
        <v>0.37</v>
      </c>
      <c r="P14" s="91">
        <v>0.5</v>
      </c>
      <c r="Q14" s="90">
        <v>0.41</v>
      </c>
      <c r="R14" s="91">
        <v>0.28999999999999998</v>
      </c>
      <c r="S14" s="90">
        <v>0.46</v>
      </c>
      <c r="T14" s="91">
        <v>0.57999999999999996</v>
      </c>
      <c r="U14" s="92">
        <v>0.39</v>
      </c>
      <c r="W14" s="129">
        <v>0.8</v>
      </c>
      <c r="X14" s="89">
        <v>0.24</v>
      </c>
      <c r="Y14" s="90">
        <v>0.35</v>
      </c>
      <c r="Z14" s="91">
        <v>0.59</v>
      </c>
      <c r="AA14" s="90">
        <v>0.47</v>
      </c>
      <c r="AB14" s="91">
        <v>0.27</v>
      </c>
      <c r="AC14" s="90">
        <v>0.5</v>
      </c>
      <c r="AD14" s="91">
        <v>0.6</v>
      </c>
      <c r="AE14" s="92">
        <v>0.35</v>
      </c>
      <c r="AG14" s="129">
        <v>0.8</v>
      </c>
      <c r="AH14" s="89">
        <v>0.24</v>
      </c>
      <c r="AI14" s="90">
        <v>0.38</v>
      </c>
      <c r="AJ14" s="91">
        <v>0.63</v>
      </c>
      <c r="AK14" s="90">
        <v>0.49</v>
      </c>
      <c r="AL14" s="91">
        <v>0.25</v>
      </c>
      <c r="AM14" s="90">
        <v>0.45</v>
      </c>
      <c r="AN14" s="91">
        <v>0.59</v>
      </c>
      <c r="AO14" s="92">
        <v>0.36</v>
      </c>
      <c r="AQ14" s="129">
        <v>0.8</v>
      </c>
      <c r="AR14" s="89">
        <v>0.3</v>
      </c>
      <c r="AS14" s="90">
        <v>0.37</v>
      </c>
      <c r="AT14" s="91">
        <v>0.5</v>
      </c>
      <c r="AU14" s="90">
        <v>0.4</v>
      </c>
      <c r="AV14" s="91">
        <v>0.28000000000000003</v>
      </c>
      <c r="AW14" s="90">
        <v>0.43</v>
      </c>
      <c r="AX14" s="91">
        <v>0.52</v>
      </c>
      <c r="AY14" s="92">
        <v>0.4</v>
      </c>
      <c r="BA14" s="129">
        <v>0.8</v>
      </c>
      <c r="BB14" s="89">
        <v>0.26</v>
      </c>
      <c r="BC14" s="90">
        <v>0.35</v>
      </c>
      <c r="BD14" s="91">
        <v>0.5</v>
      </c>
      <c r="BE14" s="90">
        <v>0.38</v>
      </c>
      <c r="BF14" s="91">
        <v>0.26</v>
      </c>
      <c r="BG14" s="90">
        <v>0.5</v>
      </c>
      <c r="BH14" s="91">
        <v>0.66</v>
      </c>
      <c r="BI14" s="92">
        <v>0.4</v>
      </c>
      <c r="BK14" s="129">
        <v>0.8</v>
      </c>
      <c r="BL14" s="89">
        <v>0.28000000000000003</v>
      </c>
      <c r="BM14" s="90">
        <v>0.4</v>
      </c>
      <c r="BN14" s="91">
        <v>0.54</v>
      </c>
      <c r="BO14" s="90">
        <v>0.44</v>
      </c>
      <c r="BP14" s="91">
        <v>0.28000000000000003</v>
      </c>
      <c r="BQ14" s="90">
        <v>0.41</v>
      </c>
      <c r="BR14" s="91">
        <v>0.53</v>
      </c>
      <c r="BS14" s="92">
        <v>0.4</v>
      </c>
      <c r="BU14" s="129">
        <v>0.8</v>
      </c>
      <c r="BV14" s="89">
        <v>0.3</v>
      </c>
      <c r="BW14" s="90">
        <v>0.37</v>
      </c>
      <c r="BX14" s="91">
        <v>0.5</v>
      </c>
      <c r="BY14" s="90">
        <v>0.41</v>
      </c>
      <c r="BZ14" s="91">
        <v>0.28999999999999998</v>
      </c>
      <c r="CA14" s="90">
        <v>0.43</v>
      </c>
      <c r="CB14" s="91">
        <v>0.53</v>
      </c>
      <c r="CC14" s="92">
        <v>0.4</v>
      </c>
    </row>
    <row r="15" spans="2:81" ht="13" x14ac:dyDescent="0.3">
      <c r="B15" s="261">
        <f t="shared" si="0"/>
        <v>0</v>
      </c>
      <c r="C15" s="64">
        <v>1</v>
      </c>
      <c r="D15" s="43">
        <v>0.19</v>
      </c>
      <c r="E15" s="53">
        <v>0.26</v>
      </c>
      <c r="F15" s="48">
        <v>0.45</v>
      </c>
      <c r="G15" s="53">
        <v>0.41</v>
      </c>
      <c r="H15" s="48">
        <v>0.25</v>
      </c>
      <c r="I15" s="53">
        <v>0.43</v>
      </c>
      <c r="J15" s="48">
        <v>0.48</v>
      </c>
      <c r="K15" s="55">
        <v>0.28000000000000003</v>
      </c>
      <c r="M15" s="58">
        <v>1</v>
      </c>
      <c r="N15" s="43">
        <v>0.26</v>
      </c>
      <c r="O15" s="53">
        <v>0.3</v>
      </c>
      <c r="P15" s="48">
        <v>0.43</v>
      </c>
      <c r="Q15" s="53">
        <v>0.35</v>
      </c>
      <c r="R15" s="48">
        <v>0.24</v>
      </c>
      <c r="S15" s="53">
        <v>0.4</v>
      </c>
      <c r="T15" s="48">
        <v>0.47</v>
      </c>
      <c r="U15" s="55">
        <v>0.32</v>
      </c>
      <c r="W15" s="58">
        <v>1</v>
      </c>
      <c r="X15" s="43">
        <v>0.2</v>
      </c>
      <c r="Y15" s="53">
        <v>0.28999999999999998</v>
      </c>
      <c r="Z15" s="48">
        <v>0.5</v>
      </c>
      <c r="AA15" s="53">
        <v>0.4</v>
      </c>
      <c r="AB15" s="48">
        <v>0.24</v>
      </c>
      <c r="AC15" s="53">
        <v>0.43</v>
      </c>
      <c r="AD15" s="48">
        <v>0.53</v>
      </c>
      <c r="AE15" s="55">
        <v>0.28999999999999998</v>
      </c>
      <c r="AG15" s="58">
        <v>1</v>
      </c>
      <c r="AH15" s="43">
        <v>0.2</v>
      </c>
      <c r="AI15" s="53">
        <v>0.31</v>
      </c>
      <c r="AJ15" s="48">
        <v>0.55000000000000004</v>
      </c>
      <c r="AK15" s="53">
        <v>0.42</v>
      </c>
      <c r="AL15" s="48">
        <v>0.22</v>
      </c>
      <c r="AM15" s="53">
        <v>0.39</v>
      </c>
      <c r="AN15" s="48">
        <v>0.51</v>
      </c>
      <c r="AO15" s="55">
        <v>0.3</v>
      </c>
      <c r="AQ15" s="58">
        <v>1</v>
      </c>
      <c r="AR15" s="43">
        <v>0.26</v>
      </c>
      <c r="AS15" s="53">
        <v>0.31</v>
      </c>
      <c r="AT15" s="48">
        <v>0.42</v>
      </c>
      <c r="AU15" s="53">
        <v>0.34</v>
      </c>
      <c r="AV15" s="48">
        <v>0.25</v>
      </c>
      <c r="AW15" s="53">
        <v>0.37</v>
      </c>
      <c r="AX15" s="48">
        <v>0.46</v>
      </c>
      <c r="AY15" s="55">
        <v>0.31</v>
      </c>
      <c r="BA15" s="58">
        <v>1</v>
      </c>
      <c r="BB15" s="43">
        <v>0.22</v>
      </c>
      <c r="BC15" s="53">
        <v>0.28999999999999998</v>
      </c>
      <c r="BD15" s="48">
        <v>0.42</v>
      </c>
      <c r="BE15" s="53">
        <v>0.32</v>
      </c>
      <c r="BF15" s="48">
        <v>0.23</v>
      </c>
      <c r="BG15" s="53">
        <v>0.42</v>
      </c>
      <c r="BH15" s="48">
        <v>0.56000000000000005</v>
      </c>
      <c r="BI15" s="55">
        <v>0.36</v>
      </c>
      <c r="BK15" s="58">
        <v>1</v>
      </c>
      <c r="BL15" s="43">
        <v>0.25</v>
      </c>
      <c r="BM15" s="53">
        <v>0.33</v>
      </c>
      <c r="BN15" s="48">
        <v>0.48</v>
      </c>
      <c r="BO15" s="53">
        <v>0.37</v>
      </c>
      <c r="BP15" s="48">
        <v>0.25</v>
      </c>
      <c r="BQ15" s="53">
        <v>0.35</v>
      </c>
      <c r="BR15" s="48">
        <v>0.44</v>
      </c>
      <c r="BS15" s="55">
        <v>0.32</v>
      </c>
      <c r="BU15" s="58">
        <v>1</v>
      </c>
      <c r="BV15" s="43">
        <v>0.25</v>
      </c>
      <c r="BW15" s="53">
        <v>0.3</v>
      </c>
      <c r="BX15" s="48">
        <v>0.42</v>
      </c>
      <c r="BY15" s="53">
        <v>0.35</v>
      </c>
      <c r="BZ15" s="48">
        <v>0.25</v>
      </c>
      <c r="CA15" s="53">
        <v>0.37</v>
      </c>
      <c r="CB15" s="48">
        <v>0.47</v>
      </c>
      <c r="CC15" s="55">
        <v>0.33</v>
      </c>
    </row>
    <row r="16" spans="2:81" x14ac:dyDescent="0.25">
      <c r="B16" s="261">
        <f t="shared" si="0"/>
        <v>0</v>
      </c>
      <c r="C16" s="128">
        <v>1.2</v>
      </c>
      <c r="D16" s="89">
        <v>0.18</v>
      </c>
      <c r="E16" s="90">
        <v>0.23</v>
      </c>
      <c r="F16" s="91">
        <v>0.37</v>
      </c>
      <c r="G16" s="90">
        <v>0.33</v>
      </c>
      <c r="H16" s="91">
        <v>0.22</v>
      </c>
      <c r="I16" s="90">
        <v>0.39</v>
      </c>
      <c r="J16" s="91">
        <v>0.42</v>
      </c>
      <c r="K16" s="92">
        <v>0.26</v>
      </c>
      <c r="M16" s="129">
        <v>1.2</v>
      </c>
      <c r="N16" s="89">
        <v>0.23</v>
      </c>
      <c r="O16" s="90">
        <v>0.27</v>
      </c>
      <c r="P16" s="91">
        <v>0.35</v>
      </c>
      <c r="Q16" s="90">
        <v>0.3</v>
      </c>
      <c r="R16" s="91">
        <v>0.22</v>
      </c>
      <c r="S16" s="90">
        <v>0.34</v>
      </c>
      <c r="T16" s="91">
        <v>0.41</v>
      </c>
      <c r="U16" s="92">
        <v>0.28000000000000003</v>
      </c>
      <c r="W16" s="129">
        <v>1.2</v>
      </c>
      <c r="X16" s="89">
        <v>0.19</v>
      </c>
      <c r="Y16" s="90">
        <v>0.26</v>
      </c>
      <c r="Z16" s="91">
        <v>0.42</v>
      </c>
      <c r="AA16" s="90">
        <v>0.34</v>
      </c>
      <c r="AB16" s="91">
        <v>0.21</v>
      </c>
      <c r="AC16" s="90">
        <v>0.37</v>
      </c>
      <c r="AD16" s="91">
        <v>0.43</v>
      </c>
      <c r="AE16" s="92">
        <v>0.26</v>
      </c>
      <c r="AG16" s="129">
        <v>1.2</v>
      </c>
      <c r="AH16" s="89">
        <v>0.19</v>
      </c>
      <c r="AI16" s="90">
        <v>0.26</v>
      </c>
      <c r="AJ16" s="91">
        <v>0.46</v>
      </c>
      <c r="AK16" s="90">
        <v>0.37</v>
      </c>
      <c r="AL16" s="91">
        <v>0.2</v>
      </c>
      <c r="AM16" s="90">
        <v>0.35</v>
      </c>
      <c r="AN16" s="91">
        <v>0.45</v>
      </c>
      <c r="AO16" s="92">
        <v>0.25</v>
      </c>
      <c r="AQ16" s="129">
        <v>1.2</v>
      </c>
      <c r="AR16" s="89">
        <v>0.24</v>
      </c>
      <c r="AS16" s="90">
        <v>0.26</v>
      </c>
      <c r="AT16" s="91">
        <v>0.36</v>
      </c>
      <c r="AU16" s="90">
        <v>0.3</v>
      </c>
      <c r="AV16" s="91">
        <v>0.22</v>
      </c>
      <c r="AW16" s="90">
        <v>0.33</v>
      </c>
      <c r="AX16" s="91">
        <v>0.4</v>
      </c>
      <c r="AY16" s="92">
        <v>0.27</v>
      </c>
      <c r="BA16" s="129">
        <v>1.2</v>
      </c>
      <c r="BB16" s="89">
        <v>0.2</v>
      </c>
      <c r="BC16" s="90">
        <v>0.24</v>
      </c>
      <c r="BD16" s="91">
        <v>0.37</v>
      </c>
      <c r="BE16" s="90">
        <v>0.28999999999999998</v>
      </c>
      <c r="BF16" s="91">
        <v>0.23</v>
      </c>
      <c r="BG16" s="90">
        <v>0.39</v>
      </c>
      <c r="BH16" s="91">
        <v>0.48</v>
      </c>
      <c r="BI16" s="92">
        <v>0.28999999999999998</v>
      </c>
      <c r="BK16" s="129">
        <v>1.2</v>
      </c>
      <c r="BL16" s="89">
        <v>0.22</v>
      </c>
      <c r="BM16" s="90">
        <v>0.28000000000000003</v>
      </c>
      <c r="BN16" s="91">
        <v>0.41</v>
      </c>
      <c r="BO16" s="90">
        <v>0.34</v>
      </c>
      <c r="BP16" s="91">
        <v>0.23</v>
      </c>
      <c r="BQ16" s="90">
        <v>0.31</v>
      </c>
      <c r="BR16" s="91">
        <v>0.38</v>
      </c>
      <c r="BS16" s="92">
        <v>0.27</v>
      </c>
      <c r="BU16" s="129">
        <v>1.2</v>
      </c>
      <c r="BV16" s="89">
        <v>0.23</v>
      </c>
      <c r="BW16" s="90">
        <v>0.28000000000000003</v>
      </c>
      <c r="BX16" s="91">
        <v>0.37</v>
      </c>
      <c r="BY16" s="90">
        <v>0.31</v>
      </c>
      <c r="BZ16" s="91">
        <v>0.23</v>
      </c>
      <c r="CA16" s="90">
        <v>0.33</v>
      </c>
      <c r="CB16" s="91">
        <v>0.39</v>
      </c>
      <c r="CC16" s="92">
        <v>0.26</v>
      </c>
    </row>
    <row r="17" spans="2:81" x14ac:dyDescent="0.25">
      <c r="B17" s="261">
        <f t="shared" si="0"/>
        <v>0</v>
      </c>
      <c r="C17" s="128">
        <v>1.4</v>
      </c>
      <c r="D17" s="89">
        <v>0.17</v>
      </c>
      <c r="E17" s="90">
        <v>0.21</v>
      </c>
      <c r="F17" s="91">
        <v>0.32</v>
      </c>
      <c r="G17" s="90">
        <v>0.3</v>
      </c>
      <c r="H17" s="91">
        <v>0.22</v>
      </c>
      <c r="I17" s="90">
        <v>0.32</v>
      </c>
      <c r="J17" s="91">
        <v>0.37</v>
      </c>
      <c r="K17" s="92">
        <v>0.22</v>
      </c>
      <c r="M17" s="129">
        <v>1.4</v>
      </c>
      <c r="N17" s="89">
        <v>0.21</v>
      </c>
      <c r="O17" s="90">
        <v>0.24</v>
      </c>
      <c r="P17" s="91">
        <v>0.32</v>
      </c>
      <c r="Q17" s="90">
        <v>0.28000000000000003</v>
      </c>
      <c r="R17" s="91">
        <v>0.21</v>
      </c>
      <c r="S17" s="90">
        <v>0.3</v>
      </c>
      <c r="T17" s="91">
        <v>0.36</v>
      </c>
      <c r="U17" s="92">
        <v>0.24</v>
      </c>
      <c r="W17" s="129">
        <v>1.4</v>
      </c>
      <c r="X17" s="89">
        <v>0.17</v>
      </c>
      <c r="Y17" s="90">
        <v>0.22</v>
      </c>
      <c r="Z17" s="91">
        <v>0.35</v>
      </c>
      <c r="AA17" s="90">
        <v>0.31</v>
      </c>
      <c r="AB17" s="91">
        <v>0.2</v>
      </c>
      <c r="AC17" s="90">
        <v>0.32</v>
      </c>
      <c r="AD17" s="91">
        <v>0.41</v>
      </c>
      <c r="AE17" s="92">
        <v>0.23</v>
      </c>
      <c r="AG17" s="129">
        <v>1.4</v>
      </c>
      <c r="AH17" s="89">
        <v>0.16</v>
      </c>
      <c r="AI17" s="90">
        <v>0.23</v>
      </c>
      <c r="AJ17" s="91">
        <v>0.39</v>
      </c>
      <c r="AK17" s="90">
        <v>0.34</v>
      </c>
      <c r="AL17" s="91">
        <v>0.17</v>
      </c>
      <c r="AM17" s="90">
        <v>0.33</v>
      </c>
      <c r="AN17" s="91">
        <v>0.38</v>
      </c>
      <c r="AO17" s="92">
        <v>0.21</v>
      </c>
      <c r="AQ17" s="129">
        <v>1.4</v>
      </c>
      <c r="AR17" s="89">
        <v>0.21</v>
      </c>
      <c r="AS17" s="90">
        <v>0.23</v>
      </c>
      <c r="AT17" s="91">
        <v>0.32</v>
      </c>
      <c r="AU17" s="90">
        <v>0.27</v>
      </c>
      <c r="AV17" s="91">
        <v>0.2</v>
      </c>
      <c r="AW17" s="90">
        <v>0.28999999999999998</v>
      </c>
      <c r="AX17" s="91">
        <v>0.34</v>
      </c>
      <c r="AY17" s="92">
        <v>0.24</v>
      </c>
      <c r="BA17" s="129">
        <v>1.4</v>
      </c>
      <c r="BB17" s="89">
        <v>0.18</v>
      </c>
      <c r="BC17" s="90">
        <v>0.22</v>
      </c>
      <c r="BD17" s="91">
        <v>0.32</v>
      </c>
      <c r="BE17" s="90">
        <v>0.26</v>
      </c>
      <c r="BF17" s="91">
        <v>0.19</v>
      </c>
      <c r="BG17" s="90">
        <v>0.34</v>
      </c>
      <c r="BH17" s="91">
        <v>0.42</v>
      </c>
      <c r="BI17" s="92">
        <v>0.26</v>
      </c>
      <c r="BK17" s="129">
        <v>1.4</v>
      </c>
      <c r="BL17" s="89">
        <v>0.19</v>
      </c>
      <c r="BM17" s="90">
        <v>0.23</v>
      </c>
      <c r="BN17" s="91">
        <v>0.36</v>
      </c>
      <c r="BO17" s="90">
        <v>0.3</v>
      </c>
      <c r="BP17" s="91">
        <v>0.21</v>
      </c>
      <c r="BQ17" s="90">
        <v>0.28000000000000003</v>
      </c>
      <c r="BR17" s="91">
        <v>0.33</v>
      </c>
      <c r="BS17" s="92">
        <v>0.24</v>
      </c>
      <c r="BU17" s="129">
        <v>1.4</v>
      </c>
      <c r="BV17" s="89">
        <v>0.21</v>
      </c>
      <c r="BW17" s="90">
        <v>0.23</v>
      </c>
      <c r="BX17" s="91">
        <v>0.32</v>
      </c>
      <c r="BY17" s="90">
        <v>0.28999999999999998</v>
      </c>
      <c r="BZ17" s="91">
        <v>0.2</v>
      </c>
      <c r="CA17" s="90">
        <v>0.28999999999999998</v>
      </c>
      <c r="CB17" s="91">
        <v>0.34</v>
      </c>
      <c r="CC17" s="92">
        <v>0.24</v>
      </c>
    </row>
    <row r="18" spans="2:81" x14ac:dyDescent="0.25">
      <c r="B18" s="261">
        <f t="shared" si="0"/>
        <v>0</v>
      </c>
      <c r="C18" s="128">
        <v>1.6</v>
      </c>
      <c r="D18" s="89">
        <v>0.15</v>
      </c>
      <c r="E18" s="90">
        <v>0.18</v>
      </c>
      <c r="F18" s="91">
        <v>0.28000000000000003</v>
      </c>
      <c r="G18" s="90">
        <v>0.26</v>
      </c>
      <c r="H18" s="91">
        <v>0.18</v>
      </c>
      <c r="I18" s="90">
        <v>0.28999999999999998</v>
      </c>
      <c r="J18" s="91">
        <v>0.34</v>
      </c>
      <c r="K18" s="92">
        <v>0.21</v>
      </c>
      <c r="M18" s="129">
        <v>1.6</v>
      </c>
      <c r="N18" s="89">
        <v>0.19</v>
      </c>
      <c r="O18" s="90">
        <v>0.23</v>
      </c>
      <c r="P18" s="91">
        <v>0.28000000000000003</v>
      </c>
      <c r="Q18" s="90">
        <v>0.25</v>
      </c>
      <c r="R18" s="91">
        <v>0.19</v>
      </c>
      <c r="S18" s="90">
        <v>0.27</v>
      </c>
      <c r="T18" s="91">
        <v>0.31</v>
      </c>
      <c r="U18" s="92">
        <v>0.22</v>
      </c>
      <c r="W18" s="129">
        <v>1.6</v>
      </c>
      <c r="X18" s="89">
        <v>0.17</v>
      </c>
      <c r="Y18" s="90">
        <v>0.2</v>
      </c>
      <c r="Z18" s="91">
        <v>0.33</v>
      </c>
      <c r="AA18" s="90">
        <v>0.27</v>
      </c>
      <c r="AB18" s="91">
        <v>0.16</v>
      </c>
      <c r="AC18" s="90">
        <v>0.31</v>
      </c>
      <c r="AD18" s="91">
        <v>0.35</v>
      </c>
      <c r="AE18" s="92">
        <v>0.21</v>
      </c>
      <c r="AG18" s="129">
        <v>1.6</v>
      </c>
      <c r="AH18" s="89">
        <v>0.16</v>
      </c>
      <c r="AI18" s="90">
        <v>0.2</v>
      </c>
      <c r="AJ18" s="91">
        <v>0.38</v>
      </c>
      <c r="AK18" s="90">
        <v>0.3</v>
      </c>
      <c r="AL18" s="91">
        <v>0.16</v>
      </c>
      <c r="AM18" s="90">
        <v>0.28999999999999998</v>
      </c>
      <c r="AN18" s="91">
        <v>0.33</v>
      </c>
      <c r="AO18" s="92">
        <v>0.2</v>
      </c>
      <c r="AQ18" s="129">
        <v>1.6</v>
      </c>
      <c r="AR18" s="89">
        <v>0.2</v>
      </c>
      <c r="AS18" s="90">
        <v>0.22</v>
      </c>
      <c r="AT18" s="91">
        <v>0.28999999999999998</v>
      </c>
      <c r="AU18" s="90">
        <v>0.23</v>
      </c>
      <c r="AV18" s="91">
        <v>0.18</v>
      </c>
      <c r="AW18" s="90">
        <v>0.27</v>
      </c>
      <c r="AX18" s="91">
        <v>0.3</v>
      </c>
      <c r="AY18" s="92">
        <v>0.21</v>
      </c>
      <c r="BA18" s="129">
        <v>1.6</v>
      </c>
      <c r="BB18" s="89">
        <v>0.16</v>
      </c>
      <c r="BC18" s="90">
        <v>0.19</v>
      </c>
      <c r="BD18" s="91">
        <v>0.28000000000000003</v>
      </c>
      <c r="BE18" s="90">
        <v>0.24</v>
      </c>
      <c r="BF18" s="91">
        <v>0.18</v>
      </c>
      <c r="BG18" s="90">
        <v>0.31</v>
      </c>
      <c r="BH18" s="91">
        <v>0.38</v>
      </c>
      <c r="BI18" s="92">
        <v>0.21</v>
      </c>
      <c r="BK18" s="129">
        <v>1.6</v>
      </c>
      <c r="BL18" s="89">
        <v>0.18</v>
      </c>
      <c r="BM18" s="90">
        <v>0.21</v>
      </c>
      <c r="BN18" s="91">
        <v>0.33</v>
      </c>
      <c r="BO18" s="90">
        <v>0.27</v>
      </c>
      <c r="BP18" s="91">
        <v>0.2</v>
      </c>
      <c r="BQ18" s="90">
        <v>0.26</v>
      </c>
      <c r="BR18" s="91">
        <v>0.31</v>
      </c>
      <c r="BS18" s="92">
        <v>0.21</v>
      </c>
      <c r="BU18" s="129">
        <v>1.6</v>
      </c>
      <c r="BV18" s="89">
        <v>0.2</v>
      </c>
      <c r="BW18" s="90">
        <v>0.21</v>
      </c>
      <c r="BX18" s="91">
        <v>0.3</v>
      </c>
      <c r="BY18" s="90">
        <v>0.25</v>
      </c>
      <c r="BZ18" s="91">
        <v>0.18</v>
      </c>
      <c r="CA18" s="90">
        <v>0.25</v>
      </c>
      <c r="CB18" s="91">
        <v>0.31</v>
      </c>
      <c r="CC18" s="92">
        <v>0.22</v>
      </c>
    </row>
    <row r="19" spans="2:81" x14ac:dyDescent="0.25">
      <c r="B19" s="261">
        <f t="shared" si="0"/>
        <v>0</v>
      </c>
      <c r="C19" s="128">
        <v>1.8</v>
      </c>
      <c r="D19" s="89">
        <v>0.13</v>
      </c>
      <c r="E19" s="90">
        <v>0.18</v>
      </c>
      <c r="F19" s="91">
        <v>0.27</v>
      </c>
      <c r="G19" s="90">
        <v>0.22</v>
      </c>
      <c r="H19" s="91">
        <v>0.17</v>
      </c>
      <c r="I19" s="90">
        <v>0.28000000000000003</v>
      </c>
      <c r="J19" s="91">
        <v>0.3</v>
      </c>
      <c r="K19" s="92">
        <v>0.18</v>
      </c>
      <c r="M19" s="129">
        <v>1.8</v>
      </c>
      <c r="N19" s="89">
        <v>0.17</v>
      </c>
      <c r="O19" s="90">
        <v>0.2</v>
      </c>
      <c r="P19" s="91">
        <v>0.24</v>
      </c>
      <c r="Q19" s="90">
        <v>0.22</v>
      </c>
      <c r="R19" s="91">
        <v>0.17</v>
      </c>
      <c r="S19" s="90">
        <v>0.26</v>
      </c>
      <c r="T19" s="91">
        <v>0.28000000000000003</v>
      </c>
      <c r="U19" s="92">
        <v>0.2</v>
      </c>
      <c r="W19" s="129">
        <v>1.8</v>
      </c>
      <c r="X19" s="89">
        <v>0.15</v>
      </c>
      <c r="Y19" s="90">
        <v>0.19</v>
      </c>
      <c r="Z19" s="91">
        <v>0.3</v>
      </c>
      <c r="AA19" s="90">
        <v>0.24</v>
      </c>
      <c r="AB19" s="91">
        <v>0.16</v>
      </c>
      <c r="AC19" s="90">
        <v>0.28000000000000003</v>
      </c>
      <c r="AD19" s="91">
        <v>0.33</v>
      </c>
      <c r="AE19" s="92">
        <v>0.19</v>
      </c>
      <c r="AG19" s="129">
        <v>1.8</v>
      </c>
      <c r="AH19" s="89">
        <v>0.14000000000000001</v>
      </c>
      <c r="AI19" s="90">
        <v>0.18</v>
      </c>
      <c r="AJ19" s="91">
        <v>0.32</v>
      </c>
      <c r="AK19" s="90">
        <v>0.27</v>
      </c>
      <c r="AL19" s="91">
        <v>0.14000000000000001</v>
      </c>
      <c r="AM19" s="90">
        <v>0.25</v>
      </c>
      <c r="AN19" s="91">
        <v>0.32</v>
      </c>
      <c r="AO19" s="92">
        <v>0.17</v>
      </c>
      <c r="AQ19" s="129">
        <v>1.8</v>
      </c>
      <c r="AR19" s="89">
        <v>0.18</v>
      </c>
      <c r="AS19" s="90">
        <v>0.2</v>
      </c>
      <c r="AT19" s="91">
        <v>0.25</v>
      </c>
      <c r="AU19" s="90">
        <v>0.21</v>
      </c>
      <c r="AV19" s="91">
        <v>0.17</v>
      </c>
      <c r="AW19" s="90">
        <v>0.23</v>
      </c>
      <c r="AX19" s="91">
        <v>0.27</v>
      </c>
      <c r="AY19" s="92">
        <v>0.2</v>
      </c>
      <c r="BA19" s="129">
        <v>1.8</v>
      </c>
      <c r="BB19" s="89">
        <v>0.15</v>
      </c>
      <c r="BC19" s="90">
        <v>0.18</v>
      </c>
      <c r="BD19" s="91">
        <v>0.26</v>
      </c>
      <c r="BE19" s="90">
        <v>0.22</v>
      </c>
      <c r="BF19" s="91">
        <v>0.17</v>
      </c>
      <c r="BG19" s="90">
        <v>0.28000000000000003</v>
      </c>
      <c r="BH19" s="91">
        <v>0.34</v>
      </c>
      <c r="BI19" s="92">
        <v>0.2</v>
      </c>
      <c r="BK19" s="129">
        <v>1.8</v>
      </c>
      <c r="BL19" s="89">
        <v>0.17</v>
      </c>
      <c r="BM19" s="90">
        <v>0.2</v>
      </c>
      <c r="BN19" s="91">
        <v>0.28000000000000003</v>
      </c>
      <c r="BO19" s="90">
        <v>0.24</v>
      </c>
      <c r="BP19" s="91">
        <v>0.18</v>
      </c>
      <c r="BQ19" s="90">
        <v>0.24</v>
      </c>
      <c r="BR19" s="91">
        <v>0.27</v>
      </c>
      <c r="BS19" s="92">
        <v>0.19</v>
      </c>
      <c r="BU19" s="129">
        <v>1.8</v>
      </c>
      <c r="BV19" s="89">
        <v>0.19</v>
      </c>
      <c r="BW19" s="90">
        <v>0.2</v>
      </c>
      <c r="BX19" s="91">
        <v>0.25</v>
      </c>
      <c r="BY19" s="90">
        <v>0.22</v>
      </c>
      <c r="BZ19" s="91">
        <v>0.17</v>
      </c>
      <c r="CA19" s="90">
        <v>0.23</v>
      </c>
      <c r="CB19" s="91">
        <v>0.28000000000000003</v>
      </c>
      <c r="CC19" s="92">
        <v>0.2</v>
      </c>
    </row>
    <row r="20" spans="2:81" ht="13" x14ac:dyDescent="0.3">
      <c r="B20" s="261">
        <f t="shared" si="0"/>
        <v>0</v>
      </c>
      <c r="C20" s="65">
        <v>2</v>
      </c>
      <c r="D20" s="49">
        <v>0.12</v>
      </c>
      <c r="E20" s="54">
        <v>0.17</v>
      </c>
      <c r="F20" s="50">
        <v>0.23</v>
      </c>
      <c r="G20" s="54">
        <v>0.21</v>
      </c>
      <c r="H20" s="50">
        <v>0.16</v>
      </c>
      <c r="I20" s="54">
        <v>0.24</v>
      </c>
      <c r="J20" s="50">
        <v>0.28000000000000003</v>
      </c>
      <c r="K20" s="56">
        <v>0.17</v>
      </c>
      <c r="M20" s="59">
        <v>2</v>
      </c>
      <c r="N20" s="49">
        <v>0.17</v>
      </c>
      <c r="O20" s="54">
        <v>0.19</v>
      </c>
      <c r="P20" s="50">
        <v>0.22</v>
      </c>
      <c r="Q20" s="54">
        <v>0.21</v>
      </c>
      <c r="R20" s="50">
        <v>0.16</v>
      </c>
      <c r="S20" s="54">
        <v>0.22</v>
      </c>
      <c r="T20" s="50">
        <v>0.27</v>
      </c>
      <c r="U20" s="56">
        <v>0.19</v>
      </c>
      <c r="W20" s="59">
        <v>2</v>
      </c>
      <c r="X20" s="49">
        <v>0.15</v>
      </c>
      <c r="Y20" s="54">
        <v>0.18</v>
      </c>
      <c r="Z20" s="50">
        <v>0.25</v>
      </c>
      <c r="AA20" s="54">
        <v>0.24</v>
      </c>
      <c r="AB20" s="50">
        <v>0.15</v>
      </c>
      <c r="AC20" s="54">
        <v>0.24</v>
      </c>
      <c r="AD20" s="50">
        <v>0.27</v>
      </c>
      <c r="AE20" s="56">
        <v>0.17</v>
      </c>
      <c r="AG20" s="59">
        <v>2</v>
      </c>
      <c r="AH20" s="49">
        <v>0.13</v>
      </c>
      <c r="AI20" s="54">
        <v>0.17</v>
      </c>
      <c r="AJ20" s="50">
        <v>0.28000000000000003</v>
      </c>
      <c r="AK20" s="54">
        <v>0.23</v>
      </c>
      <c r="AL20" s="50">
        <v>0.14000000000000001</v>
      </c>
      <c r="AM20" s="54">
        <v>0.24</v>
      </c>
      <c r="AN20" s="50">
        <v>0.26</v>
      </c>
      <c r="AO20" s="56">
        <v>0.16</v>
      </c>
      <c r="AQ20" s="59">
        <v>2</v>
      </c>
      <c r="AR20" s="49">
        <v>0.17</v>
      </c>
      <c r="AS20" s="54">
        <v>0.17</v>
      </c>
      <c r="AT20" s="50">
        <v>0.24</v>
      </c>
      <c r="AU20" s="54">
        <v>0.21</v>
      </c>
      <c r="AV20" s="50">
        <v>0.16</v>
      </c>
      <c r="AW20" s="54">
        <v>0.21</v>
      </c>
      <c r="AX20" s="50">
        <v>0.25</v>
      </c>
      <c r="AY20" s="56">
        <v>0.19</v>
      </c>
      <c r="BA20" s="59">
        <v>2</v>
      </c>
      <c r="BB20" s="49">
        <v>0.14000000000000001</v>
      </c>
      <c r="BC20" s="54">
        <v>0.17</v>
      </c>
      <c r="BD20" s="50">
        <v>0.24</v>
      </c>
      <c r="BE20" s="54">
        <v>0.21</v>
      </c>
      <c r="BF20" s="50">
        <v>0.17</v>
      </c>
      <c r="BG20" s="54">
        <v>0.26</v>
      </c>
      <c r="BH20" s="50">
        <v>0.31</v>
      </c>
      <c r="BI20" s="56">
        <v>0.17</v>
      </c>
      <c r="BK20" s="59">
        <v>2</v>
      </c>
      <c r="BL20" s="49">
        <v>0.16</v>
      </c>
      <c r="BM20" s="54">
        <v>0.19</v>
      </c>
      <c r="BN20" s="50">
        <v>0.27</v>
      </c>
      <c r="BO20" s="54">
        <v>0.23</v>
      </c>
      <c r="BP20" s="50">
        <v>0.18</v>
      </c>
      <c r="BQ20" s="54">
        <v>0.21</v>
      </c>
      <c r="BR20" s="50">
        <v>0.25</v>
      </c>
      <c r="BS20" s="56">
        <v>0.18</v>
      </c>
      <c r="BU20" s="59">
        <v>2</v>
      </c>
      <c r="BV20" s="49">
        <v>0.16</v>
      </c>
      <c r="BW20" s="54">
        <v>0.18</v>
      </c>
      <c r="BX20" s="50">
        <v>0.23</v>
      </c>
      <c r="BY20" s="54">
        <v>0.21</v>
      </c>
      <c r="BZ20" s="50">
        <v>0.16</v>
      </c>
      <c r="CA20" s="54">
        <v>0.22</v>
      </c>
      <c r="CB20" s="50">
        <v>0.24</v>
      </c>
      <c r="CC20" s="56">
        <v>0.19</v>
      </c>
    </row>
    <row r="21" spans="2:81" x14ac:dyDescent="0.25">
      <c r="C21" s="262" t="s">
        <v>305</v>
      </c>
    </row>
    <row r="23" spans="2:81" ht="13" x14ac:dyDescent="0.3">
      <c r="B23" s="263">
        <v>2100</v>
      </c>
      <c r="C23" s="190" t="s">
        <v>306</v>
      </c>
    </row>
    <row r="24" spans="2:81" ht="13" x14ac:dyDescent="0.3">
      <c r="B24" s="121" t="s">
        <v>307</v>
      </c>
    </row>
    <row r="25" spans="2:81" ht="13" x14ac:dyDescent="0.3">
      <c r="B25" s="121"/>
    </row>
    <row r="26" spans="2:81" ht="13" x14ac:dyDescent="0.3">
      <c r="B26" s="121"/>
    </row>
    <row r="27" spans="2:81" ht="13" x14ac:dyDescent="0.3">
      <c r="B27" s="121"/>
    </row>
    <row r="28" spans="2:81" ht="15.5" x14ac:dyDescent="0.35">
      <c r="B28" s="69" t="s">
        <v>308</v>
      </c>
      <c r="C28" s="264" t="s">
        <v>309</v>
      </c>
    </row>
    <row r="29" spans="2:81" ht="13" x14ac:dyDescent="0.3">
      <c r="C29" s="121" t="s">
        <v>310</v>
      </c>
    </row>
    <row r="31" spans="2:81" ht="13" x14ac:dyDescent="0.3">
      <c r="C31" s="1" t="s">
        <v>290</v>
      </c>
      <c r="M31" s="1" t="s">
        <v>291</v>
      </c>
      <c r="W31" s="1" t="s">
        <v>292</v>
      </c>
      <c r="AG31" s="1" t="s">
        <v>293</v>
      </c>
      <c r="AQ31" s="1" t="s">
        <v>294</v>
      </c>
      <c r="BA31" s="1" t="s">
        <v>295</v>
      </c>
      <c r="BK31" s="1" t="s">
        <v>296</v>
      </c>
      <c r="BU31" s="1" t="s">
        <v>297</v>
      </c>
    </row>
    <row r="32" spans="2:81" x14ac:dyDescent="0.25">
      <c r="C32" s="123"/>
      <c r="D32" s="46" t="s">
        <v>277</v>
      </c>
      <c r="E32" s="44" t="s">
        <v>278</v>
      </c>
      <c r="F32" s="44" t="s">
        <v>279</v>
      </c>
      <c r="G32" s="44" t="s">
        <v>280</v>
      </c>
      <c r="H32" s="44" t="s">
        <v>281</v>
      </c>
      <c r="I32" s="44" t="s">
        <v>282</v>
      </c>
      <c r="J32" s="44" t="s">
        <v>283</v>
      </c>
      <c r="K32" s="45" t="s">
        <v>284</v>
      </c>
      <c r="M32" s="123"/>
      <c r="N32" s="46" t="s">
        <v>277</v>
      </c>
      <c r="O32" s="44" t="s">
        <v>278</v>
      </c>
      <c r="P32" s="44" t="s">
        <v>279</v>
      </c>
      <c r="Q32" s="44" t="s">
        <v>280</v>
      </c>
      <c r="R32" s="44" t="s">
        <v>281</v>
      </c>
      <c r="S32" s="44" t="s">
        <v>282</v>
      </c>
      <c r="T32" s="44" t="s">
        <v>283</v>
      </c>
      <c r="U32" s="45" t="s">
        <v>284</v>
      </c>
      <c r="W32" s="123"/>
      <c r="X32" s="46" t="s">
        <v>277</v>
      </c>
      <c r="Y32" s="44" t="s">
        <v>278</v>
      </c>
      <c r="Z32" s="44" t="s">
        <v>279</v>
      </c>
      <c r="AA32" s="44" t="s">
        <v>280</v>
      </c>
      <c r="AB32" s="44" t="s">
        <v>281</v>
      </c>
      <c r="AC32" s="44" t="s">
        <v>282</v>
      </c>
      <c r="AD32" s="44" t="s">
        <v>283</v>
      </c>
      <c r="AE32" s="45" t="s">
        <v>284</v>
      </c>
      <c r="AG32" s="123"/>
      <c r="AH32" s="46" t="s">
        <v>277</v>
      </c>
      <c r="AI32" s="44" t="s">
        <v>278</v>
      </c>
      <c r="AJ32" s="44" t="s">
        <v>279</v>
      </c>
      <c r="AK32" s="44" t="s">
        <v>280</v>
      </c>
      <c r="AL32" s="44" t="s">
        <v>281</v>
      </c>
      <c r="AM32" s="44" t="s">
        <v>282</v>
      </c>
      <c r="AN32" s="44" t="s">
        <v>283</v>
      </c>
      <c r="AO32" s="45" t="s">
        <v>284</v>
      </c>
      <c r="AQ32" s="123"/>
      <c r="AR32" s="46" t="s">
        <v>277</v>
      </c>
      <c r="AS32" s="44" t="s">
        <v>278</v>
      </c>
      <c r="AT32" s="44" t="s">
        <v>279</v>
      </c>
      <c r="AU32" s="44" t="s">
        <v>280</v>
      </c>
      <c r="AV32" s="44" t="s">
        <v>281</v>
      </c>
      <c r="AW32" s="44" t="s">
        <v>282</v>
      </c>
      <c r="AX32" s="44" t="s">
        <v>283</v>
      </c>
      <c r="AY32" s="45" t="s">
        <v>284</v>
      </c>
      <c r="BA32" s="123"/>
      <c r="BB32" s="46" t="s">
        <v>277</v>
      </c>
      <c r="BC32" s="44" t="s">
        <v>278</v>
      </c>
      <c r="BD32" s="44" t="s">
        <v>279</v>
      </c>
      <c r="BE32" s="44" t="s">
        <v>280</v>
      </c>
      <c r="BF32" s="44" t="s">
        <v>281</v>
      </c>
      <c r="BG32" s="44" t="s">
        <v>282</v>
      </c>
      <c r="BH32" s="44" t="s">
        <v>283</v>
      </c>
      <c r="BI32" s="45" t="s">
        <v>284</v>
      </c>
      <c r="BK32" s="123"/>
      <c r="BL32" s="46" t="s">
        <v>277</v>
      </c>
      <c r="BM32" s="44" t="s">
        <v>278</v>
      </c>
      <c r="BN32" s="44" t="s">
        <v>279</v>
      </c>
      <c r="BO32" s="44" t="s">
        <v>280</v>
      </c>
      <c r="BP32" s="44" t="s">
        <v>281</v>
      </c>
      <c r="BQ32" s="44" t="s">
        <v>282</v>
      </c>
      <c r="BR32" s="44" t="s">
        <v>283</v>
      </c>
      <c r="BS32" s="45" t="s">
        <v>284</v>
      </c>
      <c r="BU32" s="123"/>
      <c r="BV32" s="46" t="s">
        <v>277</v>
      </c>
      <c r="BW32" s="44" t="s">
        <v>278</v>
      </c>
      <c r="BX32" s="44" t="s">
        <v>279</v>
      </c>
      <c r="BY32" s="44" t="s">
        <v>280</v>
      </c>
      <c r="BZ32" s="44" t="s">
        <v>281</v>
      </c>
      <c r="CA32" s="44" t="s">
        <v>282</v>
      </c>
      <c r="CB32" s="44" t="s">
        <v>283</v>
      </c>
      <c r="CC32" s="45" t="s">
        <v>284</v>
      </c>
    </row>
    <row r="33" spans="3:81" x14ac:dyDescent="0.25">
      <c r="C33" s="47" t="s">
        <v>304</v>
      </c>
      <c r="D33" s="124">
        <v>0</v>
      </c>
      <c r="E33" s="125">
        <v>45</v>
      </c>
      <c r="F33" s="126">
        <v>90</v>
      </c>
      <c r="G33" s="125">
        <v>135</v>
      </c>
      <c r="H33" s="126">
        <v>180</v>
      </c>
      <c r="I33" s="125">
        <v>225</v>
      </c>
      <c r="J33" s="126">
        <v>270</v>
      </c>
      <c r="K33" s="127">
        <v>315</v>
      </c>
      <c r="M33" s="47" t="s">
        <v>304</v>
      </c>
      <c r="N33" s="124">
        <v>0</v>
      </c>
      <c r="O33" s="125">
        <v>45</v>
      </c>
      <c r="P33" s="126">
        <v>90</v>
      </c>
      <c r="Q33" s="125">
        <v>135</v>
      </c>
      <c r="R33" s="126">
        <v>180</v>
      </c>
      <c r="S33" s="125">
        <v>225</v>
      </c>
      <c r="T33" s="126">
        <v>270</v>
      </c>
      <c r="U33" s="127">
        <v>315</v>
      </c>
      <c r="W33" s="47" t="s">
        <v>304</v>
      </c>
      <c r="X33" s="124">
        <v>0</v>
      </c>
      <c r="Y33" s="125">
        <v>45</v>
      </c>
      <c r="Z33" s="126">
        <v>90</v>
      </c>
      <c r="AA33" s="125">
        <v>135</v>
      </c>
      <c r="AB33" s="126">
        <v>180</v>
      </c>
      <c r="AC33" s="125">
        <v>225</v>
      </c>
      <c r="AD33" s="126">
        <v>270</v>
      </c>
      <c r="AE33" s="127">
        <v>315</v>
      </c>
      <c r="AG33" s="47" t="s">
        <v>304</v>
      </c>
      <c r="AH33" s="124">
        <v>0</v>
      </c>
      <c r="AI33" s="125">
        <v>45</v>
      </c>
      <c r="AJ33" s="126">
        <v>90</v>
      </c>
      <c r="AK33" s="125">
        <v>135</v>
      </c>
      <c r="AL33" s="126">
        <v>180</v>
      </c>
      <c r="AM33" s="125">
        <v>225</v>
      </c>
      <c r="AN33" s="126">
        <v>270</v>
      </c>
      <c r="AO33" s="127">
        <v>315</v>
      </c>
      <c r="AQ33" s="47" t="s">
        <v>304</v>
      </c>
      <c r="AR33" s="124">
        <v>0</v>
      </c>
      <c r="AS33" s="125">
        <v>45</v>
      </c>
      <c r="AT33" s="126">
        <v>90</v>
      </c>
      <c r="AU33" s="125">
        <v>135</v>
      </c>
      <c r="AV33" s="126">
        <v>180</v>
      </c>
      <c r="AW33" s="125">
        <v>225</v>
      </c>
      <c r="AX33" s="126">
        <v>270</v>
      </c>
      <c r="AY33" s="127">
        <v>315</v>
      </c>
      <c r="BA33" s="47" t="s">
        <v>304</v>
      </c>
      <c r="BB33" s="124">
        <v>0</v>
      </c>
      <c r="BC33" s="125">
        <v>45</v>
      </c>
      <c r="BD33" s="126">
        <v>90</v>
      </c>
      <c r="BE33" s="125">
        <v>135</v>
      </c>
      <c r="BF33" s="126">
        <v>180</v>
      </c>
      <c r="BG33" s="125">
        <v>225</v>
      </c>
      <c r="BH33" s="126">
        <v>270</v>
      </c>
      <c r="BI33" s="127">
        <v>315</v>
      </c>
      <c r="BK33" s="47" t="s">
        <v>304</v>
      </c>
      <c r="BL33" s="124">
        <v>0</v>
      </c>
      <c r="BM33" s="125">
        <v>45</v>
      </c>
      <c r="BN33" s="126">
        <v>90</v>
      </c>
      <c r="BO33" s="125">
        <v>135</v>
      </c>
      <c r="BP33" s="126">
        <v>180</v>
      </c>
      <c r="BQ33" s="125">
        <v>225</v>
      </c>
      <c r="BR33" s="126">
        <v>270</v>
      </c>
      <c r="BS33" s="127">
        <v>315</v>
      </c>
      <c r="BU33" s="47" t="s">
        <v>304</v>
      </c>
      <c r="BV33" s="124">
        <v>0</v>
      </c>
      <c r="BW33" s="125">
        <v>45</v>
      </c>
      <c r="BX33" s="126">
        <v>90</v>
      </c>
      <c r="BY33" s="125">
        <v>135</v>
      </c>
      <c r="BZ33" s="126">
        <v>180</v>
      </c>
      <c r="CA33" s="125">
        <v>225</v>
      </c>
      <c r="CB33" s="126">
        <v>270</v>
      </c>
      <c r="CC33" s="127">
        <v>315</v>
      </c>
    </row>
    <row r="34" spans="3:81" ht="13" x14ac:dyDescent="0.3">
      <c r="C34" s="131">
        <v>0</v>
      </c>
      <c r="D34" s="51"/>
      <c r="E34" s="61"/>
      <c r="F34" s="52"/>
      <c r="G34" s="61"/>
      <c r="H34" s="52"/>
      <c r="I34" s="61"/>
      <c r="J34" s="52"/>
      <c r="K34" s="62"/>
      <c r="M34" s="131">
        <v>0</v>
      </c>
      <c r="N34" s="51">
        <v>1.86</v>
      </c>
      <c r="O34" s="61">
        <v>1.44</v>
      </c>
      <c r="P34" s="52">
        <v>0.86</v>
      </c>
      <c r="Q34" s="61">
        <v>0.4</v>
      </c>
      <c r="R34" s="52">
        <v>0.37</v>
      </c>
      <c r="S34" s="61">
        <v>0.41</v>
      </c>
      <c r="T34" s="52">
        <v>0.91</v>
      </c>
      <c r="U34" s="62">
        <v>1.48</v>
      </c>
      <c r="W34" s="131">
        <v>0</v>
      </c>
      <c r="X34" s="51">
        <v>1.92</v>
      </c>
      <c r="Y34" s="61">
        <v>1.49</v>
      </c>
      <c r="Z34" s="52">
        <v>0.88</v>
      </c>
      <c r="AA34" s="61">
        <v>0.32</v>
      </c>
      <c r="AB34" s="52">
        <v>0.25</v>
      </c>
      <c r="AC34" s="61">
        <v>0.33</v>
      </c>
      <c r="AD34" s="52">
        <v>0.95</v>
      </c>
      <c r="AE34" s="62">
        <v>1.56</v>
      </c>
      <c r="AG34" s="131">
        <v>0</v>
      </c>
      <c r="AH34" s="51">
        <v>1.97</v>
      </c>
      <c r="AI34" s="61">
        <v>1.51</v>
      </c>
      <c r="AJ34" s="52">
        <v>0.83</v>
      </c>
      <c r="AK34" s="61">
        <v>0.39</v>
      </c>
      <c r="AL34" s="52">
        <v>0.35</v>
      </c>
      <c r="AM34" s="61">
        <v>0.39</v>
      </c>
      <c r="AN34" s="52">
        <v>0.85</v>
      </c>
      <c r="AO34" s="62">
        <v>1.53</v>
      </c>
      <c r="AQ34" s="131">
        <v>0</v>
      </c>
      <c r="AR34" s="51">
        <v>2.0099999999999998</v>
      </c>
      <c r="AS34" s="61">
        <v>1.48</v>
      </c>
      <c r="AT34" s="52">
        <v>0.77</v>
      </c>
      <c r="AU34" s="61">
        <v>0.39</v>
      </c>
      <c r="AV34" s="52">
        <v>0.37</v>
      </c>
      <c r="AW34" s="61">
        <v>0.39</v>
      </c>
      <c r="AX34" s="52">
        <v>0.85</v>
      </c>
      <c r="AY34" s="62">
        <v>1.58</v>
      </c>
      <c r="BA34" s="131">
        <v>0</v>
      </c>
      <c r="BB34" s="51">
        <v>1.9</v>
      </c>
      <c r="BC34" s="61">
        <v>1.43</v>
      </c>
      <c r="BD34" s="52">
        <v>0.8</v>
      </c>
      <c r="BE34" s="61">
        <v>0.45</v>
      </c>
      <c r="BF34" s="52">
        <v>0.43</v>
      </c>
      <c r="BG34" s="61">
        <v>0.45</v>
      </c>
      <c r="BH34" s="52">
        <v>0.88</v>
      </c>
      <c r="BI34" s="62">
        <v>1.53</v>
      </c>
      <c r="BK34" s="131">
        <v>0</v>
      </c>
      <c r="BL34" s="51">
        <v>2.08</v>
      </c>
      <c r="BM34" s="61">
        <v>1.63</v>
      </c>
      <c r="BN34" s="52">
        <v>0.83</v>
      </c>
      <c r="BO34" s="61">
        <v>0.38</v>
      </c>
      <c r="BP34" s="52">
        <v>0.35</v>
      </c>
      <c r="BQ34" s="61">
        <v>0.38</v>
      </c>
      <c r="BR34" s="52">
        <v>0.75</v>
      </c>
      <c r="BS34" s="62">
        <v>1.5</v>
      </c>
      <c r="BU34" s="131">
        <v>0</v>
      </c>
      <c r="BV34" s="51">
        <v>1.93</v>
      </c>
      <c r="BW34" s="61">
        <v>1.48</v>
      </c>
      <c r="BX34" s="52">
        <v>0.81</v>
      </c>
      <c r="BY34" s="61">
        <v>0.47</v>
      </c>
      <c r="BZ34" s="52">
        <v>0.45</v>
      </c>
      <c r="CA34" s="61">
        <v>0.47</v>
      </c>
      <c r="CB34" s="52">
        <v>0.81</v>
      </c>
      <c r="CC34" s="62">
        <v>1.46</v>
      </c>
    </row>
    <row r="35" spans="3:81" x14ac:dyDescent="0.25">
      <c r="C35" s="60">
        <v>0.05</v>
      </c>
      <c r="D35" s="89"/>
      <c r="E35" s="90"/>
      <c r="F35" s="91"/>
      <c r="G35" s="90"/>
      <c r="H35" s="91"/>
      <c r="I35" s="90"/>
      <c r="J35" s="91"/>
      <c r="K35" s="92"/>
      <c r="M35" s="60">
        <v>0.05</v>
      </c>
      <c r="N35" s="89">
        <v>1.8</v>
      </c>
      <c r="O35" s="90">
        <v>1.37</v>
      </c>
      <c r="P35" s="91">
        <v>0.8</v>
      </c>
      <c r="Q35" s="90">
        <v>0.34</v>
      </c>
      <c r="R35" s="91">
        <v>0.31</v>
      </c>
      <c r="S35" s="90">
        <v>0.36</v>
      </c>
      <c r="T35" s="91">
        <v>0.84</v>
      </c>
      <c r="U35" s="92">
        <v>1.42</v>
      </c>
      <c r="W35" s="60">
        <v>0.05</v>
      </c>
      <c r="X35" s="89">
        <v>1.9</v>
      </c>
      <c r="Y35" s="90">
        <v>1.44</v>
      </c>
      <c r="Z35" s="91">
        <v>0.82</v>
      </c>
      <c r="AA35" s="90">
        <v>0.28000000000000003</v>
      </c>
      <c r="AB35" s="91">
        <v>0.22</v>
      </c>
      <c r="AC35" s="90">
        <v>0.28999999999999998</v>
      </c>
      <c r="AD35" s="91">
        <v>0.91</v>
      </c>
      <c r="AE35" s="92">
        <v>1.52</v>
      </c>
      <c r="AG35" s="60">
        <v>0.05</v>
      </c>
      <c r="AH35" s="89">
        <v>1.93</v>
      </c>
      <c r="AI35" s="90">
        <v>1.45</v>
      </c>
      <c r="AJ35" s="91">
        <v>0.76</v>
      </c>
      <c r="AK35" s="90">
        <v>0.33</v>
      </c>
      <c r="AL35" s="91">
        <v>0.28999999999999998</v>
      </c>
      <c r="AM35" s="90">
        <v>0.33</v>
      </c>
      <c r="AN35" s="91">
        <v>0.79</v>
      </c>
      <c r="AO35" s="92">
        <v>1.47</v>
      </c>
      <c r="AQ35" s="60">
        <v>0.05</v>
      </c>
      <c r="AR35" s="89">
        <v>1.95</v>
      </c>
      <c r="AS35" s="90">
        <v>1.42</v>
      </c>
      <c r="AT35" s="91">
        <v>0.7</v>
      </c>
      <c r="AU35" s="90">
        <v>0.33</v>
      </c>
      <c r="AV35" s="91">
        <v>0.31</v>
      </c>
      <c r="AW35" s="90">
        <v>0.33</v>
      </c>
      <c r="AX35" s="91">
        <v>0.78</v>
      </c>
      <c r="AY35" s="92">
        <v>1.51</v>
      </c>
      <c r="BA35" s="60">
        <v>0.05</v>
      </c>
      <c r="BB35" s="89">
        <v>1.84</v>
      </c>
      <c r="BC35" s="90">
        <v>1.35</v>
      </c>
      <c r="BD35" s="91">
        <v>0.73</v>
      </c>
      <c r="BE35" s="90">
        <v>0.38</v>
      </c>
      <c r="BF35" s="91">
        <v>0.36</v>
      </c>
      <c r="BG35" s="90">
        <v>0.38</v>
      </c>
      <c r="BH35" s="91">
        <v>0.81</v>
      </c>
      <c r="BI35" s="92">
        <v>1.45</v>
      </c>
      <c r="BK35" s="60">
        <v>0.05</v>
      </c>
      <c r="BL35" s="89">
        <v>2.0099999999999998</v>
      </c>
      <c r="BM35" s="90">
        <v>1.56</v>
      </c>
      <c r="BN35" s="91">
        <v>0.77</v>
      </c>
      <c r="BO35" s="90">
        <v>0.32</v>
      </c>
      <c r="BP35" s="91">
        <v>0.28999999999999998</v>
      </c>
      <c r="BQ35" s="90">
        <v>0.32</v>
      </c>
      <c r="BR35" s="91">
        <v>0.69</v>
      </c>
      <c r="BS35" s="92">
        <v>1.44</v>
      </c>
      <c r="BU35" s="60">
        <v>0.05</v>
      </c>
      <c r="BV35" s="89">
        <v>1.87</v>
      </c>
      <c r="BW35" s="90">
        <v>1.41</v>
      </c>
      <c r="BX35" s="91">
        <v>0.73</v>
      </c>
      <c r="BY35" s="90">
        <v>0.39</v>
      </c>
      <c r="BZ35" s="91">
        <v>0.38</v>
      </c>
      <c r="CA35" s="90">
        <v>0.39</v>
      </c>
      <c r="CB35" s="91">
        <v>0.73</v>
      </c>
      <c r="CC35" s="92">
        <v>1.39</v>
      </c>
    </row>
    <row r="36" spans="3:81" x14ac:dyDescent="0.25">
      <c r="C36" s="60">
        <v>0.1</v>
      </c>
      <c r="D36" s="89"/>
      <c r="E36" s="90"/>
      <c r="F36" s="91"/>
      <c r="G36" s="90"/>
      <c r="H36" s="91"/>
      <c r="I36" s="90"/>
      <c r="J36" s="91"/>
      <c r="K36" s="92"/>
      <c r="M36" s="60">
        <v>0.1</v>
      </c>
      <c r="N36" s="89">
        <v>1.73</v>
      </c>
      <c r="O36" s="90">
        <v>1.33</v>
      </c>
      <c r="P36" s="91">
        <v>0.76</v>
      </c>
      <c r="Q36" s="90">
        <v>0.32</v>
      </c>
      <c r="R36" s="91">
        <v>0.28999999999999998</v>
      </c>
      <c r="S36" s="90">
        <v>0.34</v>
      </c>
      <c r="T36" s="91">
        <v>0.81</v>
      </c>
      <c r="U36" s="92">
        <v>1.34</v>
      </c>
      <c r="W36" s="60">
        <v>0.1</v>
      </c>
      <c r="X36" s="89">
        <v>1.76</v>
      </c>
      <c r="Y36" s="90">
        <v>1.37</v>
      </c>
      <c r="Z36" s="91">
        <v>0.78</v>
      </c>
      <c r="AA36" s="90">
        <v>0.27</v>
      </c>
      <c r="AB36" s="91">
        <v>0.21</v>
      </c>
      <c r="AC36" s="90">
        <v>0.28000000000000003</v>
      </c>
      <c r="AD36" s="91">
        <v>0.87</v>
      </c>
      <c r="AE36" s="92">
        <v>1.44</v>
      </c>
      <c r="AG36" s="60">
        <v>0.1</v>
      </c>
      <c r="AH36" s="89">
        <v>1.91</v>
      </c>
      <c r="AI36" s="90">
        <v>1.4</v>
      </c>
      <c r="AJ36" s="91">
        <v>0.74</v>
      </c>
      <c r="AK36" s="90">
        <v>0.31</v>
      </c>
      <c r="AL36" s="91">
        <v>0.28000000000000003</v>
      </c>
      <c r="AM36" s="90">
        <v>0.31</v>
      </c>
      <c r="AN36" s="91">
        <v>0.75</v>
      </c>
      <c r="AO36" s="92">
        <v>1.42</v>
      </c>
      <c r="AQ36" s="60">
        <v>0.1</v>
      </c>
      <c r="AR36" s="89">
        <v>1.95</v>
      </c>
      <c r="AS36" s="90">
        <v>1.36</v>
      </c>
      <c r="AT36" s="91">
        <v>0.66</v>
      </c>
      <c r="AU36" s="90">
        <v>0.31</v>
      </c>
      <c r="AV36" s="91">
        <v>0.3</v>
      </c>
      <c r="AW36" s="90">
        <v>0.32</v>
      </c>
      <c r="AX36" s="91">
        <v>0.75</v>
      </c>
      <c r="AY36" s="92">
        <v>1.47</v>
      </c>
      <c r="BA36" s="60">
        <v>0.1</v>
      </c>
      <c r="BB36" s="89">
        <v>1.82</v>
      </c>
      <c r="BC36" s="90">
        <v>1.3</v>
      </c>
      <c r="BD36" s="91">
        <v>0.7</v>
      </c>
      <c r="BE36" s="90">
        <v>0.36</v>
      </c>
      <c r="BF36" s="91">
        <v>0.34</v>
      </c>
      <c r="BG36" s="90">
        <v>0.36</v>
      </c>
      <c r="BH36" s="91">
        <v>0.76</v>
      </c>
      <c r="BI36" s="92">
        <v>1.42</v>
      </c>
      <c r="BK36" s="60">
        <v>0.1</v>
      </c>
      <c r="BL36" s="89">
        <v>2.0099999999999998</v>
      </c>
      <c r="BM36" s="90">
        <v>1.53</v>
      </c>
      <c r="BN36" s="91">
        <v>0.73</v>
      </c>
      <c r="BO36" s="90">
        <v>0.3</v>
      </c>
      <c r="BP36" s="91">
        <v>0.28000000000000003</v>
      </c>
      <c r="BQ36" s="90">
        <v>0.3</v>
      </c>
      <c r="BR36" s="91">
        <v>0.66</v>
      </c>
      <c r="BS36" s="92">
        <v>1.41</v>
      </c>
      <c r="BU36" s="60">
        <v>0.1</v>
      </c>
      <c r="BV36" s="89">
        <v>1.85</v>
      </c>
      <c r="BW36" s="90">
        <v>1.36</v>
      </c>
      <c r="BX36" s="91">
        <v>0.7</v>
      </c>
      <c r="BY36" s="90">
        <v>0.37</v>
      </c>
      <c r="BZ36" s="91">
        <v>0.35</v>
      </c>
      <c r="CA36" s="90">
        <v>0.37</v>
      </c>
      <c r="CB36" s="91">
        <v>0.7</v>
      </c>
      <c r="CC36" s="92">
        <v>1.34</v>
      </c>
    </row>
    <row r="37" spans="3:81" x14ac:dyDescent="0.25">
      <c r="C37" s="60">
        <v>0.2</v>
      </c>
      <c r="D37" s="89"/>
      <c r="E37" s="90"/>
      <c r="F37" s="91"/>
      <c r="G37" s="90"/>
      <c r="H37" s="91"/>
      <c r="I37" s="90"/>
      <c r="J37" s="91"/>
      <c r="K37" s="92"/>
      <c r="M37" s="60">
        <v>0.2</v>
      </c>
      <c r="N37" s="89">
        <v>1.51</v>
      </c>
      <c r="O37" s="90">
        <v>1.18</v>
      </c>
      <c r="P37" s="91">
        <v>0.68</v>
      </c>
      <c r="Q37" s="90">
        <v>0.28999999999999998</v>
      </c>
      <c r="R37" s="91">
        <v>0.27</v>
      </c>
      <c r="S37" s="90">
        <v>0.3</v>
      </c>
      <c r="T37" s="91">
        <v>0.73</v>
      </c>
      <c r="U37" s="92">
        <v>1.2</v>
      </c>
      <c r="W37" s="60">
        <v>0.2</v>
      </c>
      <c r="X37" s="89">
        <v>1.57</v>
      </c>
      <c r="Y37" s="90">
        <v>1.22</v>
      </c>
      <c r="Z37" s="91">
        <v>0.7</v>
      </c>
      <c r="AA37" s="90">
        <v>0.24</v>
      </c>
      <c r="AB37" s="91">
        <v>0.2</v>
      </c>
      <c r="AC37" s="90">
        <v>0.25</v>
      </c>
      <c r="AD37" s="91">
        <v>0.78</v>
      </c>
      <c r="AE37" s="92">
        <v>1.3</v>
      </c>
      <c r="AG37" s="60">
        <v>0.2</v>
      </c>
      <c r="AH37" s="89">
        <v>1.62</v>
      </c>
      <c r="AI37" s="90">
        <v>1.28</v>
      </c>
      <c r="AJ37" s="91">
        <v>0.67</v>
      </c>
      <c r="AK37" s="90">
        <v>0.28000000000000003</v>
      </c>
      <c r="AL37" s="91">
        <v>0.25</v>
      </c>
      <c r="AM37" s="90">
        <v>0.28000000000000003</v>
      </c>
      <c r="AN37" s="91">
        <v>0.68</v>
      </c>
      <c r="AO37" s="92">
        <v>1.28</v>
      </c>
      <c r="AQ37" s="60">
        <v>0.2</v>
      </c>
      <c r="AR37" s="89">
        <v>1.63</v>
      </c>
      <c r="AS37" s="90">
        <v>1.21</v>
      </c>
      <c r="AT37" s="91">
        <v>0.59</v>
      </c>
      <c r="AU37" s="90">
        <v>0.28000000000000003</v>
      </c>
      <c r="AV37" s="91">
        <v>0.27</v>
      </c>
      <c r="AW37" s="90">
        <v>0.28000000000000003</v>
      </c>
      <c r="AX37" s="91">
        <v>0.67</v>
      </c>
      <c r="AY37" s="92">
        <v>1.32</v>
      </c>
      <c r="BA37" s="60">
        <v>0.2</v>
      </c>
      <c r="BB37" s="89">
        <v>1.56</v>
      </c>
      <c r="BC37" s="90">
        <v>1.17</v>
      </c>
      <c r="BD37" s="91">
        <v>0.62</v>
      </c>
      <c r="BE37" s="90">
        <v>0.32</v>
      </c>
      <c r="BF37" s="91">
        <v>0.3</v>
      </c>
      <c r="BG37" s="90">
        <v>0.32</v>
      </c>
      <c r="BH37" s="91">
        <v>0.7</v>
      </c>
      <c r="BI37" s="92">
        <v>1.3</v>
      </c>
      <c r="BK37" s="60">
        <v>0.2</v>
      </c>
      <c r="BL37" s="89">
        <v>1.89</v>
      </c>
      <c r="BM37" s="90">
        <v>1.43</v>
      </c>
      <c r="BN37" s="91">
        <v>0.68</v>
      </c>
      <c r="BO37" s="90">
        <v>0.27</v>
      </c>
      <c r="BP37" s="91">
        <v>0.25</v>
      </c>
      <c r="BQ37" s="90">
        <v>0.27</v>
      </c>
      <c r="BR37" s="91">
        <v>0.6</v>
      </c>
      <c r="BS37" s="92">
        <v>1.28</v>
      </c>
      <c r="BU37" s="60">
        <v>0.2</v>
      </c>
      <c r="BV37" s="89">
        <v>1.56</v>
      </c>
      <c r="BW37" s="90">
        <v>1.22</v>
      </c>
      <c r="BX37" s="91">
        <v>0.63</v>
      </c>
      <c r="BY37" s="90">
        <v>0.33</v>
      </c>
      <c r="BZ37" s="91">
        <v>0.32</v>
      </c>
      <c r="CA37" s="90">
        <v>0.33</v>
      </c>
      <c r="CB37" s="91">
        <v>0.63</v>
      </c>
      <c r="CC37" s="92">
        <v>1.2</v>
      </c>
    </row>
    <row r="38" spans="3:81" x14ac:dyDescent="0.25">
      <c r="C38" s="60">
        <v>0.4</v>
      </c>
      <c r="D38" s="89"/>
      <c r="E38" s="90"/>
      <c r="F38" s="91"/>
      <c r="G38" s="90"/>
      <c r="H38" s="91"/>
      <c r="I38" s="90"/>
      <c r="J38" s="91"/>
      <c r="K38" s="92"/>
      <c r="M38" s="60">
        <v>0.4</v>
      </c>
      <c r="N38" s="89">
        <v>1.25</v>
      </c>
      <c r="O38" s="90">
        <v>0.95</v>
      </c>
      <c r="P38" s="91">
        <v>0.54</v>
      </c>
      <c r="Q38" s="90">
        <v>0.24</v>
      </c>
      <c r="R38" s="91">
        <v>0.23</v>
      </c>
      <c r="S38" s="90">
        <v>0.25</v>
      </c>
      <c r="T38" s="91">
        <v>0.61</v>
      </c>
      <c r="U38" s="92">
        <v>0.99</v>
      </c>
      <c r="W38" s="60">
        <v>0.4</v>
      </c>
      <c r="X38" s="89">
        <v>1.25</v>
      </c>
      <c r="Y38" s="90">
        <v>1</v>
      </c>
      <c r="Z38" s="91">
        <v>0.6</v>
      </c>
      <c r="AA38" s="90">
        <v>0.2</v>
      </c>
      <c r="AB38" s="91">
        <v>0.18</v>
      </c>
      <c r="AC38" s="90">
        <v>0.21</v>
      </c>
      <c r="AD38" s="91">
        <v>0.67</v>
      </c>
      <c r="AE38" s="92">
        <v>1.08</v>
      </c>
      <c r="AG38" s="60">
        <v>0.4</v>
      </c>
      <c r="AH38" s="89">
        <v>1.48</v>
      </c>
      <c r="AI38" s="90">
        <v>1.0900000000000001</v>
      </c>
      <c r="AJ38" s="91">
        <v>0.56000000000000005</v>
      </c>
      <c r="AK38" s="90">
        <v>0.24</v>
      </c>
      <c r="AL38" s="91">
        <v>0.22</v>
      </c>
      <c r="AM38" s="90">
        <v>0.24</v>
      </c>
      <c r="AN38" s="91">
        <v>0.57999999999999996</v>
      </c>
      <c r="AO38" s="92">
        <v>1.1000000000000001</v>
      </c>
      <c r="AQ38" s="60">
        <v>0.4</v>
      </c>
      <c r="AR38" s="89">
        <v>1.49</v>
      </c>
      <c r="AS38" s="90">
        <v>1</v>
      </c>
      <c r="AT38" s="91">
        <v>0.49</v>
      </c>
      <c r="AU38" s="90">
        <v>0.24</v>
      </c>
      <c r="AV38" s="91">
        <v>0.23</v>
      </c>
      <c r="AW38" s="90">
        <v>0.24</v>
      </c>
      <c r="AX38" s="91">
        <v>0.55000000000000004</v>
      </c>
      <c r="AY38" s="92">
        <v>1.1000000000000001</v>
      </c>
      <c r="BA38" s="60">
        <v>0.4</v>
      </c>
      <c r="BB38" s="89">
        <v>1.43</v>
      </c>
      <c r="BC38" s="90">
        <v>1.01</v>
      </c>
      <c r="BD38" s="91">
        <v>0.53</v>
      </c>
      <c r="BE38" s="90">
        <v>0.27</v>
      </c>
      <c r="BF38" s="91">
        <v>0.26</v>
      </c>
      <c r="BG38" s="90">
        <v>0.27</v>
      </c>
      <c r="BH38" s="91">
        <v>0.6</v>
      </c>
      <c r="BI38" s="92">
        <v>1.1000000000000001</v>
      </c>
      <c r="BK38" s="60">
        <v>0.4</v>
      </c>
      <c r="BL38" s="89">
        <v>1.62</v>
      </c>
      <c r="BM38" s="90">
        <v>1.24</v>
      </c>
      <c r="BN38" s="91">
        <v>0.57999999999999996</v>
      </c>
      <c r="BO38" s="90">
        <v>0.23</v>
      </c>
      <c r="BP38" s="91">
        <v>0.21</v>
      </c>
      <c r="BQ38" s="90">
        <v>0.23</v>
      </c>
      <c r="BR38" s="91">
        <v>0.5</v>
      </c>
      <c r="BS38" s="92">
        <v>1.1299999999999999</v>
      </c>
      <c r="BU38" s="60">
        <v>0.4</v>
      </c>
      <c r="BV38" s="89">
        <v>1.41</v>
      </c>
      <c r="BW38" s="90">
        <v>1.02</v>
      </c>
      <c r="BX38" s="91">
        <v>0.51</v>
      </c>
      <c r="BY38" s="90">
        <v>0.28000000000000003</v>
      </c>
      <c r="BZ38" s="91">
        <v>0.27</v>
      </c>
      <c r="CA38" s="90">
        <v>0.28000000000000003</v>
      </c>
      <c r="CB38" s="91">
        <v>0.51</v>
      </c>
      <c r="CC38" s="92">
        <v>0.99</v>
      </c>
    </row>
    <row r="39" spans="3:81" x14ac:dyDescent="0.25">
      <c r="C39" s="60">
        <v>0.6</v>
      </c>
      <c r="D39" s="89"/>
      <c r="E39" s="90"/>
      <c r="F39" s="91"/>
      <c r="G39" s="90"/>
      <c r="H39" s="91"/>
      <c r="I39" s="90"/>
      <c r="J39" s="91"/>
      <c r="K39" s="92"/>
      <c r="M39" s="60">
        <v>0.6</v>
      </c>
      <c r="N39" s="89">
        <v>1.04</v>
      </c>
      <c r="O39" s="90">
        <v>0.78</v>
      </c>
      <c r="P39" s="91">
        <v>0.48</v>
      </c>
      <c r="Q39" s="90">
        <v>0.21</v>
      </c>
      <c r="R39" s="91">
        <v>0.2</v>
      </c>
      <c r="S39" s="90">
        <v>0.22</v>
      </c>
      <c r="T39" s="91">
        <v>0.51</v>
      </c>
      <c r="U39" s="92">
        <v>0.83</v>
      </c>
      <c r="W39" s="60">
        <v>0.6</v>
      </c>
      <c r="X39" s="89">
        <v>0.94</v>
      </c>
      <c r="Y39" s="90">
        <v>0.77</v>
      </c>
      <c r="Z39" s="91">
        <v>0.48</v>
      </c>
      <c r="AA39" s="90">
        <v>0.18</v>
      </c>
      <c r="AB39" s="91">
        <v>0.17</v>
      </c>
      <c r="AC39" s="90">
        <v>0.18</v>
      </c>
      <c r="AD39" s="91">
        <v>0.54</v>
      </c>
      <c r="AE39" s="92">
        <v>0.87</v>
      </c>
      <c r="AG39" s="60">
        <v>0.6</v>
      </c>
      <c r="AH39" s="89">
        <v>1.22</v>
      </c>
      <c r="AI39" s="90">
        <v>0.9</v>
      </c>
      <c r="AJ39" s="91">
        <v>0.49</v>
      </c>
      <c r="AK39" s="90">
        <v>0.21</v>
      </c>
      <c r="AL39" s="91">
        <v>0.19</v>
      </c>
      <c r="AM39" s="90">
        <v>0.21</v>
      </c>
      <c r="AN39" s="91">
        <v>0.49</v>
      </c>
      <c r="AO39" s="92">
        <v>0.9</v>
      </c>
      <c r="AQ39" s="60">
        <v>0.6</v>
      </c>
      <c r="AR39" s="89">
        <v>1.21</v>
      </c>
      <c r="AS39" s="90">
        <v>0.83</v>
      </c>
      <c r="AT39" s="91">
        <v>0.4</v>
      </c>
      <c r="AU39" s="90">
        <v>0.21</v>
      </c>
      <c r="AV39" s="91">
        <v>0.21</v>
      </c>
      <c r="AW39" s="90">
        <v>0.21</v>
      </c>
      <c r="AX39" s="91">
        <v>0.47</v>
      </c>
      <c r="AY39" s="92">
        <v>0.9</v>
      </c>
      <c r="BA39" s="60">
        <v>0.6</v>
      </c>
      <c r="BB39" s="89">
        <v>1.22</v>
      </c>
      <c r="BC39" s="90">
        <v>0.86</v>
      </c>
      <c r="BD39" s="91">
        <v>0.45</v>
      </c>
      <c r="BE39" s="90">
        <v>0.23</v>
      </c>
      <c r="BF39" s="91">
        <v>0.23</v>
      </c>
      <c r="BG39" s="90">
        <v>0.23</v>
      </c>
      <c r="BH39" s="91">
        <v>0.52</v>
      </c>
      <c r="BI39" s="92">
        <v>0.95</v>
      </c>
      <c r="BK39" s="60">
        <v>0.6</v>
      </c>
      <c r="BL39" s="89">
        <v>1.49</v>
      </c>
      <c r="BM39" s="90">
        <v>1.0900000000000001</v>
      </c>
      <c r="BN39" s="91">
        <v>0.5</v>
      </c>
      <c r="BO39" s="90">
        <v>0.2</v>
      </c>
      <c r="BP39" s="91">
        <v>0.19</v>
      </c>
      <c r="BQ39" s="90">
        <v>0.2</v>
      </c>
      <c r="BR39" s="91">
        <v>0.44</v>
      </c>
      <c r="BS39" s="92">
        <v>0.96</v>
      </c>
      <c r="BU39" s="60">
        <v>0.6</v>
      </c>
      <c r="BV39" s="89">
        <v>1.18</v>
      </c>
      <c r="BW39" s="90">
        <v>0.83</v>
      </c>
      <c r="BX39" s="91">
        <v>0.44</v>
      </c>
      <c r="BY39" s="90">
        <v>0.24</v>
      </c>
      <c r="BZ39" s="91">
        <v>0.24</v>
      </c>
      <c r="CA39" s="90">
        <v>0.24</v>
      </c>
      <c r="CB39" s="91">
        <v>0.44</v>
      </c>
      <c r="CC39" s="92">
        <v>0.82</v>
      </c>
    </row>
    <row r="40" spans="3:81" x14ac:dyDescent="0.25">
      <c r="C40" s="60">
        <v>0.8</v>
      </c>
      <c r="D40" s="89"/>
      <c r="E40" s="90"/>
      <c r="F40" s="91"/>
      <c r="G40" s="90"/>
      <c r="H40" s="91"/>
      <c r="I40" s="90"/>
      <c r="J40" s="91"/>
      <c r="K40" s="92"/>
      <c r="M40" s="60">
        <v>0.8</v>
      </c>
      <c r="N40" s="89">
        <v>0.78</v>
      </c>
      <c r="O40" s="90">
        <v>0.62</v>
      </c>
      <c r="P40" s="91">
        <v>0.39</v>
      </c>
      <c r="Q40" s="90">
        <v>0.18</v>
      </c>
      <c r="R40" s="91">
        <v>0.19</v>
      </c>
      <c r="S40" s="90">
        <v>0.2</v>
      </c>
      <c r="T40" s="91">
        <v>0.44</v>
      </c>
      <c r="U40" s="92">
        <v>0.68</v>
      </c>
      <c r="W40" s="60">
        <v>0.8</v>
      </c>
      <c r="X40" s="89">
        <v>0.63</v>
      </c>
      <c r="Y40" s="90">
        <v>0.61</v>
      </c>
      <c r="Z40" s="91">
        <v>0.43</v>
      </c>
      <c r="AA40" s="90">
        <v>0.16</v>
      </c>
      <c r="AB40" s="91">
        <v>0.15</v>
      </c>
      <c r="AC40" s="90">
        <v>0.17</v>
      </c>
      <c r="AD40" s="91">
        <v>0.46</v>
      </c>
      <c r="AE40" s="92">
        <v>0.7</v>
      </c>
      <c r="AG40" s="60">
        <v>0.8</v>
      </c>
      <c r="AH40" s="89">
        <v>1.06</v>
      </c>
      <c r="AI40" s="90">
        <v>0.74</v>
      </c>
      <c r="AJ40" s="91">
        <v>0.43</v>
      </c>
      <c r="AK40" s="90">
        <v>0.19</v>
      </c>
      <c r="AL40" s="91">
        <v>0.18</v>
      </c>
      <c r="AM40" s="90">
        <v>0.19</v>
      </c>
      <c r="AN40" s="91">
        <v>0.44</v>
      </c>
      <c r="AO40" s="92">
        <v>0.75</v>
      </c>
      <c r="AQ40" s="60">
        <v>0.8</v>
      </c>
      <c r="AR40" s="89">
        <v>0.98</v>
      </c>
      <c r="AS40" s="90">
        <v>0.68</v>
      </c>
      <c r="AT40" s="91">
        <v>0.35</v>
      </c>
      <c r="AU40" s="90">
        <v>0.19</v>
      </c>
      <c r="AV40" s="91">
        <v>0.19</v>
      </c>
      <c r="AW40" s="90">
        <v>0.19</v>
      </c>
      <c r="AX40" s="91">
        <v>0.42</v>
      </c>
      <c r="AY40" s="92">
        <v>0.73</v>
      </c>
      <c r="BA40" s="60">
        <v>0.8</v>
      </c>
      <c r="BB40" s="89">
        <v>1.08</v>
      </c>
      <c r="BC40" s="90">
        <v>0.73</v>
      </c>
      <c r="BD40" s="91">
        <v>0.38</v>
      </c>
      <c r="BE40" s="90">
        <v>0.21</v>
      </c>
      <c r="BF40" s="91">
        <v>0.21</v>
      </c>
      <c r="BG40" s="90">
        <v>0.22</v>
      </c>
      <c r="BH40" s="91">
        <v>0.46</v>
      </c>
      <c r="BI40" s="92">
        <v>0.79</v>
      </c>
      <c r="BK40" s="60">
        <v>0.8</v>
      </c>
      <c r="BL40" s="89">
        <v>1.27</v>
      </c>
      <c r="BM40" s="90">
        <v>0.94</v>
      </c>
      <c r="BN40" s="91">
        <v>0.44</v>
      </c>
      <c r="BO40" s="90">
        <v>0.18</v>
      </c>
      <c r="BP40" s="91">
        <v>0.17</v>
      </c>
      <c r="BQ40" s="90">
        <v>0.18</v>
      </c>
      <c r="BR40" s="91">
        <v>0.39</v>
      </c>
      <c r="BS40" s="92">
        <v>0.83</v>
      </c>
      <c r="BU40" s="60">
        <v>0.8</v>
      </c>
      <c r="BV40" s="89">
        <v>1</v>
      </c>
      <c r="BW40" s="90">
        <v>0.68</v>
      </c>
      <c r="BX40" s="91">
        <v>0.37</v>
      </c>
      <c r="BY40" s="90">
        <v>0.21</v>
      </c>
      <c r="BZ40" s="91">
        <v>0.22</v>
      </c>
      <c r="CA40" s="90">
        <v>0.21</v>
      </c>
      <c r="CB40" s="91">
        <v>0.36</v>
      </c>
      <c r="CC40" s="92">
        <v>0.67</v>
      </c>
    </row>
    <row r="41" spans="3:81" ht="13" x14ac:dyDescent="0.3">
      <c r="C41" s="132">
        <v>1</v>
      </c>
      <c r="D41" s="43"/>
      <c r="E41" s="53"/>
      <c r="F41" s="48"/>
      <c r="G41" s="53"/>
      <c r="H41" s="48"/>
      <c r="I41" s="53"/>
      <c r="J41" s="48"/>
      <c r="K41" s="55"/>
      <c r="M41" s="132">
        <v>1</v>
      </c>
      <c r="N41" s="43">
        <v>0.54</v>
      </c>
      <c r="O41" s="53">
        <v>0.53</v>
      </c>
      <c r="P41" s="48">
        <v>0.32</v>
      </c>
      <c r="Q41" s="53">
        <v>0.17</v>
      </c>
      <c r="R41" s="48">
        <v>0.18</v>
      </c>
      <c r="S41" s="53">
        <v>0.17</v>
      </c>
      <c r="T41" s="48">
        <v>0.37</v>
      </c>
      <c r="U41" s="55">
        <v>0.56000000000000005</v>
      </c>
      <c r="W41" s="132">
        <v>1</v>
      </c>
      <c r="X41" s="43">
        <v>0.42</v>
      </c>
      <c r="Y41" s="53">
        <v>0.52</v>
      </c>
      <c r="Z41" s="48">
        <v>0.35</v>
      </c>
      <c r="AA41" s="53">
        <v>0.14000000000000001</v>
      </c>
      <c r="AB41" s="48">
        <v>0.14000000000000001</v>
      </c>
      <c r="AC41" s="53">
        <v>0.16</v>
      </c>
      <c r="AD41" s="48">
        <v>0.41</v>
      </c>
      <c r="AE41" s="55">
        <v>0.56000000000000005</v>
      </c>
      <c r="AG41" s="132">
        <v>1</v>
      </c>
      <c r="AH41" s="43">
        <v>0.85</v>
      </c>
      <c r="AI41" s="53">
        <v>0.66</v>
      </c>
      <c r="AJ41" s="48">
        <v>0.37</v>
      </c>
      <c r="AK41" s="53">
        <v>0.17</v>
      </c>
      <c r="AL41" s="48">
        <v>0.16</v>
      </c>
      <c r="AM41" s="53">
        <v>0.17</v>
      </c>
      <c r="AN41" s="48">
        <v>0.37</v>
      </c>
      <c r="AO41" s="55">
        <v>0.64</v>
      </c>
      <c r="AQ41" s="132">
        <v>1</v>
      </c>
      <c r="AR41" s="43">
        <v>0.8</v>
      </c>
      <c r="AS41" s="53">
        <v>0.52</v>
      </c>
      <c r="AT41" s="48">
        <v>0.28000000000000003</v>
      </c>
      <c r="AU41" s="53">
        <v>0.17</v>
      </c>
      <c r="AV41" s="48">
        <v>0.18</v>
      </c>
      <c r="AW41" s="53">
        <v>0.17</v>
      </c>
      <c r="AX41" s="48">
        <v>0.36</v>
      </c>
      <c r="AY41" s="55">
        <v>0.63</v>
      </c>
      <c r="BA41" s="132">
        <v>1</v>
      </c>
      <c r="BB41" s="43">
        <v>0.86</v>
      </c>
      <c r="BC41" s="53">
        <v>0.57999999999999996</v>
      </c>
      <c r="BD41" s="48">
        <v>0.34</v>
      </c>
      <c r="BE41" s="53">
        <v>0.19</v>
      </c>
      <c r="BF41" s="48">
        <v>0.19</v>
      </c>
      <c r="BG41" s="53">
        <v>0.19</v>
      </c>
      <c r="BH41" s="48">
        <v>0.39</v>
      </c>
      <c r="BI41" s="55">
        <v>0.69</v>
      </c>
      <c r="BK41" s="132">
        <v>1</v>
      </c>
      <c r="BL41" s="43">
        <v>1.1599999999999999</v>
      </c>
      <c r="BM41" s="53">
        <v>0.83</v>
      </c>
      <c r="BN41" s="48">
        <v>0.41</v>
      </c>
      <c r="BO41" s="53">
        <v>0.16</v>
      </c>
      <c r="BP41" s="48">
        <v>0.16</v>
      </c>
      <c r="BQ41" s="53">
        <v>0.16</v>
      </c>
      <c r="BR41" s="48">
        <v>0.34</v>
      </c>
      <c r="BS41" s="55">
        <v>0.71</v>
      </c>
      <c r="BU41" s="132">
        <v>1</v>
      </c>
      <c r="BV41" s="43">
        <v>0.79</v>
      </c>
      <c r="BW41" s="53">
        <v>0.59</v>
      </c>
      <c r="BX41" s="48">
        <v>0.32</v>
      </c>
      <c r="BY41" s="53">
        <v>0.2</v>
      </c>
      <c r="BZ41" s="48">
        <v>0.2</v>
      </c>
      <c r="CA41" s="53">
        <v>0.19</v>
      </c>
      <c r="CB41" s="48">
        <v>0.3</v>
      </c>
      <c r="CC41" s="55">
        <v>0.57999999999999996</v>
      </c>
    </row>
    <row r="42" spans="3:81" x14ac:dyDescent="0.25">
      <c r="C42" s="60">
        <v>1.2</v>
      </c>
      <c r="D42" s="89"/>
      <c r="E42" s="90"/>
      <c r="F42" s="91"/>
      <c r="G42" s="90"/>
      <c r="H42" s="91"/>
      <c r="I42" s="90"/>
      <c r="J42" s="91"/>
      <c r="K42" s="92"/>
      <c r="M42" s="60">
        <v>1.2</v>
      </c>
      <c r="N42" s="89">
        <v>0.33</v>
      </c>
      <c r="O42" s="90">
        <v>0.42</v>
      </c>
      <c r="P42" s="91">
        <v>0.28000000000000003</v>
      </c>
      <c r="Q42" s="90">
        <v>0.15</v>
      </c>
      <c r="R42" s="91">
        <v>0.17</v>
      </c>
      <c r="S42" s="90">
        <v>0.16</v>
      </c>
      <c r="T42" s="91">
        <v>0.35</v>
      </c>
      <c r="U42" s="92">
        <v>0.46</v>
      </c>
      <c r="W42" s="60">
        <v>1.2</v>
      </c>
      <c r="X42" s="89">
        <v>0.28999999999999998</v>
      </c>
      <c r="Y42" s="90">
        <v>0.4</v>
      </c>
      <c r="Z42" s="91">
        <v>0.31</v>
      </c>
      <c r="AA42" s="90">
        <v>0.13</v>
      </c>
      <c r="AB42" s="91">
        <v>0.14000000000000001</v>
      </c>
      <c r="AC42" s="90">
        <v>0.14000000000000001</v>
      </c>
      <c r="AD42" s="91">
        <v>0.34</v>
      </c>
      <c r="AE42" s="92">
        <v>0.48</v>
      </c>
      <c r="AG42" s="60">
        <v>1.2</v>
      </c>
      <c r="AH42" s="89">
        <v>0.61</v>
      </c>
      <c r="AI42" s="90">
        <v>0.51</v>
      </c>
      <c r="AJ42" s="91">
        <v>0.33</v>
      </c>
      <c r="AK42" s="90">
        <v>0.15</v>
      </c>
      <c r="AL42" s="91">
        <v>0.16</v>
      </c>
      <c r="AM42" s="90">
        <v>0.16</v>
      </c>
      <c r="AN42" s="91">
        <v>0.34</v>
      </c>
      <c r="AO42" s="92">
        <v>0.56000000000000005</v>
      </c>
      <c r="AQ42" s="60">
        <v>1.2</v>
      </c>
      <c r="AR42" s="89">
        <v>0.54</v>
      </c>
      <c r="AS42" s="90">
        <v>0.46</v>
      </c>
      <c r="AT42" s="91">
        <v>0.25</v>
      </c>
      <c r="AU42" s="90">
        <v>0.16</v>
      </c>
      <c r="AV42" s="91">
        <v>0.17</v>
      </c>
      <c r="AW42" s="90">
        <v>0.16</v>
      </c>
      <c r="AX42" s="91">
        <v>0.28999999999999998</v>
      </c>
      <c r="AY42" s="92">
        <v>0.5</v>
      </c>
      <c r="BA42" s="60">
        <v>1.2</v>
      </c>
      <c r="BB42" s="89">
        <v>0.7</v>
      </c>
      <c r="BC42" s="90">
        <v>0.54</v>
      </c>
      <c r="BD42" s="91">
        <v>0.28999999999999998</v>
      </c>
      <c r="BE42" s="90">
        <v>0.18</v>
      </c>
      <c r="BF42" s="91">
        <v>0.17</v>
      </c>
      <c r="BG42" s="90">
        <v>0.18</v>
      </c>
      <c r="BH42" s="91">
        <v>0.36</v>
      </c>
      <c r="BI42" s="92">
        <v>0.57999999999999996</v>
      </c>
      <c r="BK42" s="60">
        <v>1.2</v>
      </c>
      <c r="BL42" s="89">
        <v>0.91</v>
      </c>
      <c r="BM42" s="90">
        <v>0.7</v>
      </c>
      <c r="BN42" s="91">
        <v>0.34</v>
      </c>
      <c r="BO42" s="90">
        <v>0.15</v>
      </c>
      <c r="BP42" s="91">
        <v>0.15</v>
      </c>
      <c r="BQ42" s="90">
        <v>0.15</v>
      </c>
      <c r="BR42" s="91">
        <v>0.3</v>
      </c>
      <c r="BS42" s="92">
        <v>0.63</v>
      </c>
      <c r="BU42" s="60">
        <v>1.2</v>
      </c>
      <c r="BV42" s="89">
        <v>0.54</v>
      </c>
      <c r="BW42" s="90">
        <v>0.46</v>
      </c>
      <c r="BX42" s="91">
        <v>0.28000000000000003</v>
      </c>
      <c r="BY42" s="90">
        <v>0.18</v>
      </c>
      <c r="BZ42" s="91">
        <v>0.19</v>
      </c>
      <c r="CA42" s="90">
        <v>0.18</v>
      </c>
      <c r="CB42" s="91">
        <v>0.27</v>
      </c>
      <c r="CC42" s="92">
        <v>0.47</v>
      </c>
    </row>
    <row r="43" spans="3:81" x14ac:dyDescent="0.25">
      <c r="C43" s="60">
        <v>1.4</v>
      </c>
      <c r="D43" s="89"/>
      <c r="E43" s="90"/>
      <c r="F43" s="91"/>
      <c r="G43" s="90"/>
      <c r="H43" s="91"/>
      <c r="I43" s="90"/>
      <c r="J43" s="91"/>
      <c r="K43" s="92"/>
      <c r="M43" s="60">
        <v>1.4</v>
      </c>
      <c r="N43" s="89">
        <v>0.28000000000000003</v>
      </c>
      <c r="O43" s="90">
        <v>0.36</v>
      </c>
      <c r="P43" s="91">
        <v>0.23</v>
      </c>
      <c r="Q43" s="90">
        <v>0.14000000000000001</v>
      </c>
      <c r="R43" s="91">
        <v>0.16</v>
      </c>
      <c r="S43" s="90">
        <v>0.15</v>
      </c>
      <c r="T43" s="91">
        <v>0.31</v>
      </c>
      <c r="U43" s="92">
        <v>0.38</v>
      </c>
      <c r="W43" s="60">
        <v>1.4</v>
      </c>
      <c r="X43" s="89">
        <v>0.23</v>
      </c>
      <c r="Y43" s="90">
        <v>0.36</v>
      </c>
      <c r="Z43" s="91">
        <v>0.25</v>
      </c>
      <c r="AA43" s="90">
        <v>0.12</v>
      </c>
      <c r="AB43" s="91">
        <v>0.13</v>
      </c>
      <c r="AC43" s="90">
        <v>0.13</v>
      </c>
      <c r="AD43" s="91">
        <v>0.3</v>
      </c>
      <c r="AE43" s="92">
        <v>0.41</v>
      </c>
      <c r="AG43" s="60">
        <v>1.4</v>
      </c>
      <c r="AH43" s="89">
        <v>0.47</v>
      </c>
      <c r="AI43" s="90">
        <v>0.47</v>
      </c>
      <c r="AJ43" s="91">
        <v>0.3</v>
      </c>
      <c r="AK43" s="90">
        <v>0.14000000000000001</v>
      </c>
      <c r="AL43" s="91">
        <v>0.15</v>
      </c>
      <c r="AM43" s="90">
        <v>0.15</v>
      </c>
      <c r="AN43" s="91">
        <v>0.3</v>
      </c>
      <c r="AO43" s="92">
        <v>0.47</v>
      </c>
      <c r="AQ43" s="60">
        <v>1.4</v>
      </c>
      <c r="AR43" s="89">
        <v>0.4</v>
      </c>
      <c r="AS43" s="90">
        <v>0.34</v>
      </c>
      <c r="AT43" s="91">
        <v>0.21</v>
      </c>
      <c r="AU43" s="90">
        <v>0.15</v>
      </c>
      <c r="AV43" s="91">
        <v>0.16</v>
      </c>
      <c r="AW43" s="90">
        <v>0.15</v>
      </c>
      <c r="AX43" s="91">
        <v>0.28000000000000003</v>
      </c>
      <c r="AY43" s="92">
        <v>0.43</v>
      </c>
      <c r="BA43" s="60">
        <v>1.4</v>
      </c>
      <c r="BB43" s="89">
        <v>0.53</v>
      </c>
      <c r="BC43" s="90">
        <v>0.41</v>
      </c>
      <c r="BD43" s="91">
        <v>0.26</v>
      </c>
      <c r="BE43" s="90">
        <v>0.16</v>
      </c>
      <c r="BF43" s="91">
        <v>0.17</v>
      </c>
      <c r="BG43" s="90">
        <v>0.17</v>
      </c>
      <c r="BH43" s="91">
        <v>0.32</v>
      </c>
      <c r="BI43" s="92">
        <v>0.52</v>
      </c>
      <c r="BK43" s="60">
        <v>1.4</v>
      </c>
      <c r="BL43" s="89">
        <v>0.83</v>
      </c>
      <c r="BM43" s="90">
        <v>0.68</v>
      </c>
      <c r="BN43" s="91">
        <v>0.33</v>
      </c>
      <c r="BO43" s="90">
        <v>0.14000000000000001</v>
      </c>
      <c r="BP43" s="91">
        <v>0.14000000000000001</v>
      </c>
      <c r="BQ43" s="90">
        <v>0.14000000000000001</v>
      </c>
      <c r="BR43" s="91">
        <v>0.27</v>
      </c>
      <c r="BS43" s="92">
        <v>0.48</v>
      </c>
      <c r="BU43" s="60">
        <v>1.4</v>
      </c>
      <c r="BV43" s="89">
        <v>0.44</v>
      </c>
      <c r="BW43" s="90">
        <v>0.42</v>
      </c>
      <c r="BX43" s="91">
        <v>0.25</v>
      </c>
      <c r="BY43" s="90">
        <v>0.17</v>
      </c>
      <c r="BZ43" s="91">
        <v>0.18</v>
      </c>
      <c r="CA43" s="90">
        <v>0.17</v>
      </c>
      <c r="CB43" s="91">
        <v>0.24</v>
      </c>
      <c r="CC43" s="92">
        <v>0.38</v>
      </c>
    </row>
    <row r="44" spans="3:81" x14ac:dyDescent="0.25">
      <c r="C44" s="60">
        <v>1.6</v>
      </c>
      <c r="D44" s="89"/>
      <c r="E44" s="90"/>
      <c r="F44" s="91"/>
      <c r="G44" s="90"/>
      <c r="H44" s="91"/>
      <c r="I44" s="90"/>
      <c r="J44" s="91"/>
      <c r="K44" s="92"/>
      <c r="M44" s="60">
        <v>1.6</v>
      </c>
      <c r="N44" s="89">
        <v>0.22</v>
      </c>
      <c r="O44" s="90">
        <v>0.28999999999999998</v>
      </c>
      <c r="P44" s="91">
        <v>0.22</v>
      </c>
      <c r="Q44" s="90">
        <v>0.14000000000000001</v>
      </c>
      <c r="R44" s="91">
        <v>0.15</v>
      </c>
      <c r="S44" s="90">
        <v>0.14000000000000001</v>
      </c>
      <c r="T44" s="91">
        <v>0.26</v>
      </c>
      <c r="U44" s="92">
        <v>0.34</v>
      </c>
      <c r="W44" s="60">
        <v>1.6</v>
      </c>
      <c r="X44" s="89">
        <v>0.17</v>
      </c>
      <c r="Y44" s="90">
        <v>0.31</v>
      </c>
      <c r="Z44" s="91">
        <v>0.24</v>
      </c>
      <c r="AA44" s="90">
        <v>0.11</v>
      </c>
      <c r="AB44" s="91">
        <v>0.12</v>
      </c>
      <c r="AC44" s="90">
        <v>0.12</v>
      </c>
      <c r="AD44" s="91">
        <v>0.28999999999999998</v>
      </c>
      <c r="AE44" s="92">
        <v>0.34</v>
      </c>
      <c r="AG44" s="60">
        <v>1.6</v>
      </c>
      <c r="AH44" s="89">
        <v>0.34</v>
      </c>
      <c r="AI44" s="90">
        <v>0.41</v>
      </c>
      <c r="AJ44" s="91">
        <v>0.28000000000000003</v>
      </c>
      <c r="AK44" s="90">
        <v>0.14000000000000001</v>
      </c>
      <c r="AL44" s="91">
        <v>0.14000000000000001</v>
      </c>
      <c r="AM44" s="90">
        <v>0.14000000000000001</v>
      </c>
      <c r="AN44" s="91">
        <v>0.26</v>
      </c>
      <c r="AO44" s="92">
        <v>0.41</v>
      </c>
      <c r="AQ44" s="60">
        <v>1.6</v>
      </c>
      <c r="AR44" s="89">
        <v>0.28000000000000003</v>
      </c>
      <c r="AS44" s="90">
        <v>0.3</v>
      </c>
      <c r="AT44" s="91">
        <v>0.19</v>
      </c>
      <c r="AU44" s="90">
        <v>0.14000000000000001</v>
      </c>
      <c r="AV44" s="91">
        <v>0.14000000000000001</v>
      </c>
      <c r="AW44" s="90">
        <v>0.13</v>
      </c>
      <c r="AX44" s="91">
        <v>0.23</v>
      </c>
      <c r="AY44" s="92">
        <v>0.36</v>
      </c>
      <c r="BA44" s="60">
        <v>1.6</v>
      </c>
      <c r="BB44" s="89">
        <v>0.44</v>
      </c>
      <c r="BC44" s="90">
        <v>0.37</v>
      </c>
      <c r="BD44" s="91">
        <v>0.22</v>
      </c>
      <c r="BE44" s="90">
        <v>0.15</v>
      </c>
      <c r="BF44" s="91">
        <v>0.16</v>
      </c>
      <c r="BG44" s="90">
        <v>0.15</v>
      </c>
      <c r="BH44" s="91">
        <v>0.28000000000000003</v>
      </c>
      <c r="BI44" s="92">
        <v>0.44</v>
      </c>
      <c r="BK44" s="60">
        <v>1.6</v>
      </c>
      <c r="BL44" s="89">
        <v>0.64</v>
      </c>
      <c r="BM44" s="90">
        <v>0.49</v>
      </c>
      <c r="BN44" s="91">
        <v>0.3</v>
      </c>
      <c r="BO44" s="90">
        <v>0.13</v>
      </c>
      <c r="BP44" s="91">
        <v>0.13</v>
      </c>
      <c r="BQ44" s="90">
        <v>0.12</v>
      </c>
      <c r="BR44" s="91">
        <v>0.25</v>
      </c>
      <c r="BS44" s="92">
        <v>0.45</v>
      </c>
      <c r="BU44" s="60">
        <v>1.6</v>
      </c>
      <c r="BV44" s="89">
        <v>0.31</v>
      </c>
      <c r="BW44" s="90">
        <v>0.31</v>
      </c>
      <c r="BX44" s="91">
        <v>0.21</v>
      </c>
      <c r="BY44" s="90">
        <v>0.16</v>
      </c>
      <c r="BZ44" s="91">
        <v>0.17</v>
      </c>
      <c r="CA44" s="90">
        <v>0.15</v>
      </c>
      <c r="CB44" s="91">
        <v>0.22</v>
      </c>
      <c r="CC44" s="92">
        <v>0.32</v>
      </c>
    </row>
    <row r="45" spans="3:81" x14ac:dyDescent="0.25">
      <c r="C45" s="60">
        <v>1.8</v>
      </c>
      <c r="D45" s="89"/>
      <c r="E45" s="90"/>
      <c r="F45" s="91"/>
      <c r="G45" s="90"/>
      <c r="H45" s="91"/>
      <c r="I45" s="90"/>
      <c r="J45" s="91"/>
      <c r="K45" s="92"/>
      <c r="M45" s="60">
        <v>1.8</v>
      </c>
      <c r="N45" s="89">
        <v>0.19</v>
      </c>
      <c r="O45" s="90">
        <v>0.25</v>
      </c>
      <c r="P45" s="91">
        <v>0.19</v>
      </c>
      <c r="Q45" s="90">
        <v>0.13</v>
      </c>
      <c r="R45" s="91">
        <v>0.14000000000000001</v>
      </c>
      <c r="S45" s="90">
        <v>0.13</v>
      </c>
      <c r="T45" s="91">
        <v>0.23</v>
      </c>
      <c r="U45" s="92">
        <v>0.28000000000000003</v>
      </c>
      <c r="W45" s="60">
        <v>1.8</v>
      </c>
      <c r="X45" s="89">
        <v>0.15</v>
      </c>
      <c r="Y45" s="90">
        <v>0.22</v>
      </c>
      <c r="Z45" s="91">
        <v>0.19</v>
      </c>
      <c r="AA45" s="90">
        <v>0.11</v>
      </c>
      <c r="AB45" s="91">
        <v>0.12</v>
      </c>
      <c r="AC45" s="90">
        <v>0.11</v>
      </c>
      <c r="AD45" s="91">
        <v>0.24</v>
      </c>
      <c r="AE45" s="92">
        <v>0.31</v>
      </c>
      <c r="AG45" s="60">
        <v>1.8</v>
      </c>
      <c r="AH45" s="89">
        <v>0.26</v>
      </c>
      <c r="AI45" s="90">
        <v>0.35</v>
      </c>
      <c r="AJ45" s="91">
        <v>0.25</v>
      </c>
      <c r="AK45" s="90">
        <v>0.13</v>
      </c>
      <c r="AL45" s="91">
        <v>0.14000000000000001</v>
      </c>
      <c r="AM45" s="90">
        <v>0.13</v>
      </c>
      <c r="AN45" s="91">
        <v>0.24</v>
      </c>
      <c r="AO45" s="92">
        <v>0.35</v>
      </c>
      <c r="AQ45" s="60">
        <v>1.8</v>
      </c>
      <c r="AR45" s="89">
        <v>0.22</v>
      </c>
      <c r="AS45" s="90">
        <v>0.25</v>
      </c>
      <c r="AT45" s="91">
        <v>0.16</v>
      </c>
      <c r="AU45" s="90">
        <v>0.13</v>
      </c>
      <c r="AV45" s="91">
        <v>0.14000000000000001</v>
      </c>
      <c r="AW45" s="90">
        <v>0.13</v>
      </c>
      <c r="AX45" s="91">
        <v>0.2</v>
      </c>
      <c r="AY45" s="92">
        <v>0.32</v>
      </c>
      <c r="BA45" s="60">
        <v>1.8</v>
      </c>
      <c r="BB45" s="89">
        <v>0.32</v>
      </c>
      <c r="BC45" s="90">
        <v>0.3</v>
      </c>
      <c r="BD45" s="91">
        <v>0.21</v>
      </c>
      <c r="BE45" s="90">
        <v>0.14000000000000001</v>
      </c>
      <c r="BF45" s="91">
        <v>0.15</v>
      </c>
      <c r="BG45" s="90">
        <v>0.14000000000000001</v>
      </c>
      <c r="BH45" s="91">
        <v>0.27</v>
      </c>
      <c r="BI45" s="92">
        <v>0.4</v>
      </c>
      <c r="BK45" s="60">
        <v>1.8</v>
      </c>
      <c r="BL45" s="89">
        <v>0.52</v>
      </c>
      <c r="BM45" s="90">
        <v>0.47</v>
      </c>
      <c r="BN45" s="91">
        <v>0.24</v>
      </c>
      <c r="BO45" s="90">
        <v>0.12</v>
      </c>
      <c r="BP45" s="91">
        <v>0.13</v>
      </c>
      <c r="BQ45" s="90">
        <v>0.12</v>
      </c>
      <c r="BR45" s="91">
        <v>0.23</v>
      </c>
      <c r="BS45" s="92">
        <v>0.39</v>
      </c>
      <c r="BU45" s="60">
        <v>1.8</v>
      </c>
      <c r="BV45" s="89">
        <v>0.23</v>
      </c>
      <c r="BW45" s="90">
        <v>0.28000000000000003</v>
      </c>
      <c r="BX45" s="91">
        <v>0.19</v>
      </c>
      <c r="BY45" s="90">
        <v>0.14000000000000001</v>
      </c>
      <c r="BZ45" s="91">
        <v>0.16</v>
      </c>
      <c r="CA45" s="90">
        <v>0.14000000000000001</v>
      </c>
      <c r="CB45" s="91">
        <v>0.19</v>
      </c>
      <c r="CC45" s="92">
        <v>0.28999999999999998</v>
      </c>
    </row>
    <row r="46" spans="3:81" ht="13" x14ac:dyDescent="0.3">
      <c r="C46" s="133">
        <v>2</v>
      </c>
      <c r="D46" s="49"/>
      <c r="E46" s="54"/>
      <c r="F46" s="50"/>
      <c r="G46" s="54"/>
      <c r="H46" s="50"/>
      <c r="I46" s="54"/>
      <c r="J46" s="50"/>
      <c r="K46" s="56"/>
      <c r="M46" s="133">
        <v>2</v>
      </c>
      <c r="N46" s="49">
        <v>0.15</v>
      </c>
      <c r="O46" s="54">
        <v>0.19</v>
      </c>
      <c r="P46" s="50">
        <v>0.17</v>
      </c>
      <c r="Q46" s="54">
        <v>0.12</v>
      </c>
      <c r="R46" s="50">
        <v>0.14000000000000001</v>
      </c>
      <c r="S46" s="54">
        <v>0.13</v>
      </c>
      <c r="T46" s="50">
        <v>0.22</v>
      </c>
      <c r="U46" s="56">
        <v>0.27</v>
      </c>
      <c r="W46" s="133">
        <v>2</v>
      </c>
      <c r="X46" s="49">
        <v>0.13</v>
      </c>
      <c r="Y46" s="54">
        <v>0.22</v>
      </c>
      <c r="Z46" s="50">
        <v>0.18</v>
      </c>
      <c r="AA46" s="54">
        <v>0.1</v>
      </c>
      <c r="AB46" s="50">
        <v>0.12</v>
      </c>
      <c r="AC46" s="54">
        <v>0.11</v>
      </c>
      <c r="AD46" s="50">
        <v>0.22</v>
      </c>
      <c r="AE46" s="56">
        <v>0.27</v>
      </c>
      <c r="AG46" s="133">
        <v>2</v>
      </c>
      <c r="AH46" s="49">
        <v>0.24</v>
      </c>
      <c r="AI46" s="54">
        <v>0.32</v>
      </c>
      <c r="AJ46" s="50">
        <v>0.22</v>
      </c>
      <c r="AK46" s="54">
        <v>0.12</v>
      </c>
      <c r="AL46" s="50">
        <v>0.13</v>
      </c>
      <c r="AM46" s="54">
        <v>0.12</v>
      </c>
      <c r="AN46" s="50">
        <v>0.22</v>
      </c>
      <c r="AO46" s="56">
        <v>0.28999999999999998</v>
      </c>
      <c r="AQ46" s="133">
        <v>2</v>
      </c>
      <c r="AR46" s="49">
        <v>0.18</v>
      </c>
      <c r="AS46" s="54">
        <v>0.19</v>
      </c>
      <c r="AT46" s="50">
        <v>0.15</v>
      </c>
      <c r="AU46" s="54">
        <v>0.12</v>
      </c>
      <c r="AV46" s="50">
        <v>0.14000000000000001</v>
      </c>
      <c r="AW46" s="54">
        <v>0.12</v>
      </c>
      <c r="AX46" s="50">
        <v>0.19</v>
      </c>
      <c r="AY46" s="56">
        <v>0.24</v>
      </c>
      <c r="BA46" s="133">
        <v>2</v>
      </c>
      <c r="BB46" s="49">
        <v>0.25</v>
      </c>
      <c r="BC46" s="54">
        <v>0.27</v>
      </c>
      <c r="BD46" s="50">
        <v>0.2</v>
      </c>
      <c r="BE46" s="54">
        <v>0.13</v>
      </c>
      <c r="BF46" s="50">
        <v>0.14000000000000001</v>
      </c>
      <c r="BG46" s="54">
        <v>0.14000000000000001</v>
      </c>
      <c r="BH46" s="50">
        <v>0.24</v>
      </c>
      <c r="BI46" s="56">
        <v>0.32</v>
      </c>
      <c r="BK46" s="133">
        <v>2</v>
      </c>
      <c r="BL46" s="49">
        <v>0.39</v>
      </c>
      <c r="BM46" s="54">
        <v>0.39</v>
      </c>
      <c r="BN46" s="50">
        <v>0.24</v>
      </c>
      <c r="BO46" s="54">
        <v>0.11</v>
      </c>
      <c r="BP46" s="50">
        <v>0.12</v>
      </c>
      <c r="BQ46" s="54">
        <v>0.12</v>
      </c>
      <c r="BR46" s="50">
        <v>0.2</v>
      </c>
      <c r="BS46" s="56">
        <v>0.33</v>
      </c>
      <c r="BU46" s="133">
        <v>2</v>
      </c>
      <c r="BV46" s="49">
        <v>0.19</v>
      </c>
      <c r="BW46" s="54">
        <v>0.25</v>
      </c>
      <c r="BX46" s="50">
        <v>0.16</v>
      </c>
      <c r="BY46" s="54">
        <v>0.14000000000000001</v>
      </c>
      <c r="BZ46" s="50">
        <v>0.15</v>
      </c>
      <c r="CA46" s="54">
        <v>0.14000000000000001</v>
      </c>
      <c r="CB46" s="50">
        <v>0.17</v>
      </c>
      <c r="CC46" s="56">
        <v>0.23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owOutlineSymbols="0"/>
    <pageSetUpPr autoPageBreaks="0" fitToPage="1"/>
  </sheetPr>
  <dimension ref="A1:G102"/>
  <sheetViews>
    <sheetView showGridLines="0" showRowColHeaders="0" zoomScale="80" zoomScaleNormal="80" workbookViewId="0">
      <selection activeCell="I308" sqref="I308"/>
    </sheetView>
  </sheetViews>
  <sheetFormatPr defaultColWidth="9.1796875" defaultRowHeight="17.5" x14ac:dyDescent="0.35"/>
  <cols>
    <col min="1" max="2" width="1.7265625" style="745" customWidth="1"/>
    <col min="3" max="3" width="6.26953125" style="745" customWidth="1"/>
    <col min="4" max="4" width="0.81640625" style="745" customWidth="1"/>
    <col min="5" max="5" width="141.7265625" style="745" customWidth="1"/>
    <col min="6" max="6" width="5.453125" style="745" customWidth="1"/>
    <col min="7" max="7" width="9.1796875" style="745"/>
    <col min="8" max="9" width="9.1796875" style="745" customWidth="1"/>
    <col min="10" max="16384" width="9.1796875" style="745"/>
  </cols>
  <sheetData>
    <row r="1" spans="1:7" ht="127.5" customHeight="1" collapsed="1" x14ac:dyDescent="0.35">
      <c r="A1" s="744"/>
      <c r="B1" s="744"/>
      <c r="C1" s="744"/>
      <c r="D1" s="744"/>
      <c r="E1" s="744"/>
    </row>
    <row r="2" spans="1:7" ht="40.4" customHeight="1" x14ac:dyDescent="0.35">
      <c r="A2" s="823" t="s">
        <v>0</v>
      </c>
      <c r="B2" s="823"/>
      <c r="C2" s="823"/>
      <c r="D2" s="823"/>
      <c r="E2" s="823"/>
    </row>
    <row r="3" spans="1:7" ht="18" x14ac:dyDescent="0.4">
      <c r="D3" s="746"/>
    </row>
    <row r="5" spans="1:7" ht="18" x14ac:dyDescent="0.4">
      <c r="C5" s="747" t="s">
        <v>1</v>
      </c>
      <c r="D5" s="747"/>
      <c r="E5" s="748"/>
    </row>
    <row r="6" spans="1:7" ht="18" x14ac:dyDescent="0.4">
      <c r="C6" s="746"/>
      <c r="D6" s="746"/>
      <c r="E6" s="749"/>
    </row>
    <row r="7" spans="1:7" ht="18" x14ac:dyDescent="0.4">
      <c r="D7" s="750" t="s">
        <v>632</v>
      </c>
    </row>
    <row r="8" spans="1:7" ht="43" customHeight="1" x14ac:dyDescent="0.35">
      <c r="C8" s="751">
        <f>IF(AND(ISBLANK(D8),ISBLANK(E8)=FALSE),MAX(C$7:C7)+1,"")</f>
        <v>1</v>
      </c>
      <c r="D8" s="752"/>
      <c r="E8" s="753" t="s">
        <v>633</v>
      </c>
      <c r="G8" s="754"/>
    </row>
    <row r="9" spans="1:7" ht="43" customHeight="1" x14ac:dyDescent="0.35">
      <c r="C9" s="751">
        <f>IF(AND(ISBLANK(D9),ISBLANK(E9)=FALSE),MAX(C$7:C8)+1,"")</f>
        <v>2</v>
      </c>
      <c r="D9" s="751"/>
      <c r="E9" s="753" t="s">
        <v>619</v>
      </c>
    </row>
    <row r="10" spans="1:7" ht="43" customHeight="1" x14ac:dyDescent="0.35">
      <c r="C10" s="751">
        <f>IF(AND(ISBLANK(D10),ISBLANK(E10)=FALSE),MAX(C$7:C9)+1,"")</f>
        <v>3</v>
      </c>
      <c r="D10" s="751"/>
      <c r="E10" s="753" t="s">
        <v>553</v>
      </c>
    </row>
    <row r="11" spans="1:7" ht="18" x14ac:dyDescent="0.4">
      <c r="C11" s="751" t="str">
        <f>IF(AND(ISBLANK(D11),ISBLANK(E11)=FALSE),MAX(C$7:C10)+1,"")</f>
        <v/>
      </c>
      <c r="D11" s="750" t="s">
        <v>2</v>
      </c>
    </row>
    <row r="12" spans="1:7" ht="21.65" customHeight="1" x14ac:dyDescent="0.35">
      <c r="C12" s="751">
        <f>IF(AND(ISBLANK(D12),ISBLANK(E12)=FALSE),MAX(C$7:C11)+1,"")</f>
        <v>4</v>
      </c>
      <c r="D12" s="752"/>
      <c r="E12" s="755" t="s">
        <v>579</v>
      </c>
    </row>
    <row r="13" spans="1:7" ht="64.400000000000006" customHeight="1" x14ac:dyDescent="0.35">
      <c r="C13" s="751">
        <f>IF(AND(ISBLANK(D13),ISBLANK(E13)=FALSE),MAX(C$7:C12)+1,"")</f>
        <v>5</v>
      </c>
      <c r="D13" s="752"/>
      <c r="E13" s="755" t="s">
        <v>3</v>
      </c>
      <c r="G13" s="756"/>
    </row>
    <row r="14" spans="1:7" ht="18" x14ac:dyDescent="0.4">
      <c r="C14" s="751" t="str">
        <f>IF(AND(ISBLANK(D14),ISBLANK(E14)=FALSE),MAX(C$7:C13)+1,"")</f>
        <v/>
      </c>
      <c r="D14" s="750" t="s">
        <v>554</v>
      </c>
    </row>
    <row r="15" spans="1:7" ht="43" customHeight="1" x14ac:dyDescent="0.35">
      <c r="C15" s="751">
        <f>IF(AND(ISBLANK(D15),ISBLANK(E15)=FALSE),MAX(C$7:C14)+1,"")</f>
        <v>6</v>
      </c>
      <c r="D15" s="752"/>
      <c r="E15" s="753" t="s">
        <v>590</v>
      </c>
    </row>
    <row r="16" spans="1:7" ht="43" customHeight="1" x14ac:dyDescent="0.35">
      <c r="C16" s="751">
        <f>IF(AND(ISBLANK(D16),ISBLANK(E16)=FALSE),MAX(C$7:C15)+1,"")</f>
        <v>7</v>
      </c>
      <c r="D16" s="752"/>
      <c r="E16" s="753" t="s">
        <v>4</v>
      </c>
    </row>
    <row r="17" spans="3:5" ht="98.9" customHeight="1" x14ac:dyDescent="0.35">
      <c r="C17" s="751">
        <f>IF(AND(ISBLANK(D17),ISBLANK(E17)=FALSE),MAX(C$7:C16)+1,"")</f>
        <v>8</v>
      </c>
      <c r="D17" s="752"/>
      <c r="E17" s="753" t="s">
        <v>614</v>
      </c>
    </row>
    <row r="18" spans="3:5" ht="64.400000000000006" customHeight="1" x14ac:dyDescent="0.35">
      <c r="C18" s="751">
        <f>IF(AND(ISBLANK(D18),ISBLANK(E18)=FALSE),MAX(C$7:C17)+1,"")</f>
        <v>9</v>
      </c>
      <c r="D18" s="757"/>
      <c r="E18" s="753" t="s">
        <v>5</v>
      </c>
    </row>
    <row r="19" spans="3:5" ht="18" x14ac:dyDescent="0.4">
      <c r="C19" s="751" t="str">
        <f>IF(AND(ISBLANK(D19),ISBLANK(E19)=FALSE),MAX(C$7:C18)+1,"")</f>
        <v/>
      </c>
      <c r="D19" s="750" t="s">
        <v>6</v>
      </c>
    </row>
    <row r="20" spans="3:5" ht="43" customHeight="1" x14ac:dyDescent="0.35">
      <c r="C20" s="751">
        <f>IF(AND(ISBLANK(D20),ISBLANK(E20)=FALSE),MAX(C$7:C19)+1,"")</f>
        <v>10</v>
      </c>
      <c r="D20" s="752"/>
      <c r="E20" s="753" t="s">
        <v>555</v>
      </c>
    </row>
    <row r="21" spans="3:5" ht="43" customHeight="1" x14ac:dyDescent="0.35">
      <c r="C21" s="751">
        <f>IF(AND(ISBLANK(D21),ISBLANK(E21)=FALSE),MAX(C$7:C20)+1,"")</f>
        <v>11</v>
      </c>
      <c r="D21" s="752"/>
      <c r="E21" s="753" t="s">
        <v>556</v>
      </c>
    </row>
    <row r="22" spans="3:5" ht="43" customHeight="1" x14ac:dyDescent="0.35">
      <c r="C22" s="751">
        <f>IF(AND(ISBLANK(D22),ISBLANK(E22)=FALSE),MAX(C$7:C21)+1,"")</f>
        <v>12</v>
      </c>
      <c r="D22" s="752"/>
      <c r="E22" s="753" t="s">
        <v>7</v>
      </c>
    </row>
    <row r="23" spans="3:5" ht="43" customHeight="1" x14ac:dyDescent="0.35">
      <c r="C23" s="751">
        <f>IF(AND(ISBLANK(D23),ISBLANK(E23)=FALSE),MAX(C$7:C22)+1,"")</f>
        <v>13</v>
      </c>
      <c r="D23" s="752"/>
      <c r="E23" s="753" t="s">
        <v>8</v>
      </c>
    </row>
    <row r="24" spans="3:5" ht="43" customHeight="1" x14ac:dyDescent="0.35">
      <c r="C24" s="751">
        <f>IF(AND(ISBLANK(D24),ISBLANK(E24)=FALSE),MAX(C$7:C23)+1,"")</f>
        <v>14</v>
      </c>
      <c r="D24" s="752"/>
      <c r="E24" s="753" t="s">
        <v>9</v>
      </c>
    </row>
    <row r="25" spans="3:5" ht="43" customHeight="1" x14ac:dyDescent="0.35">
      <c r="C25" s="751">
        <f>IF(AND(ISBLANK(D25),ISBLANK(E25)=FALSE),MAX(C$7:C24)+1,"")</f>
        <v>15</v>
      </c>
      <c r="D25" s="752"/>
      <c r="E25" s="753" t="s">
        <v>557</v>
      </c>
    </row>
    <row r="26" spans="3:5" ht="43" customHeight="1" x14ac:dyDescent="0.35">
      <c r="C26" s="751">
        <f>IF(AND(ISBLANK(D26),ISBLANK(E26)=FALSE),MAX(C$7:C25)+1,"")</f>
        <v>16</v>
      </c>
      <c r="D26" s="752"/>
      <c r="E26" s="753" t="s">
        <v>580</v>
      </c>
    </row>
    <row r="27" spans="3:5" ht="18" x14ac:dyDescent="0.4">
      <c r="C27" s="751" t="str">
        <f>IF(AND(ISBLANK(D27),ISBLANK(E27)=FALSE),MAX(C$7:C26)+1,"")</f>
        <v/>
      </c>
      <c r="D27" s="750" t="s">
        <v>10</v>
      </c>
    </row>
    <row r="28" spans="3:5" ht="21.65" customHeight="1" x14ac:dyDescent="0.35">
      <c r="C28" s="751">
        <f>IF(AND(ISBLANK(D28),ISBLANK(E28)=FALSE),MAX(C$7:C27)+1,"")</f>
        <v>17</v>
      </c>
      <c r="D28" s="752"/>
      <c r="E28" s="753" t="s">
        <v>558</v>
      </c>
    </row>
    <row r="29" spans="3:5" ht="21.65" customHeight="1" x14ac:dyDescent="0.35">
      <c r="C29" s="751">
        <f>IF(AND(ISBLANK(D29),ISBLANK(E29)=FALSE),MAX(C$7:C28)+1,"")</f>
        <v>18</v>
      </c>
      <c r="D29" s="752"/>
      <c r="E29" s="753" t="s">
        <v>11</v>
      </c>
    </row>
    <row r="30" spans="3:5" ht="43" customHeight="1" x14ac:dyDescent="0.35">
      <c r="C30" s="751">
        <f>IF(AND(ISBLANK(D30),ISBLANK(E30)=FALSE),MAX(C$7:C29)+1,"")</f>
        <v>19</v>
      </c>
      <c r="D30" s="752"/>
      <c r="E30" s="753" t="s">
        <v>12</v>
      </c>
    </row>
    <row r="31" spans="3:5" ht="43" customHeight="1" x14ac:dyDescent="0.35">
      <c r="C31" s="751">
        <f>IF(AND(ISBLANK(D31),ISBLANK(E31)=FALSE),MAX(C$7:C30)+1,"")</f>
        <v>20</v>
      </c>
      <c r="D31" s="752"/>
      <c r="E31" s="753" t="s">
        <v>596</v>
      </c>
    </row>
    <row r="32" spans="3:5" ht="60.75" customHeight="1" x14ac:dyDescent="0.35">
      <c r="C32" s="751">
        <f>IF(AND(ISBLANK(D32),ISBLANK(E32)=FALSE),MAX(C$7:C31)+1,"")</f>
        <v>21</v>
      </c>
      <c r="D32" s="752"/>
      <c r="E32" s="753" t="s">
        <v>13</v>
      </c>
    </row>
    <row r="33" spans="3:5" ht="59.25" customHeight="1" x14ac:dyDescent="0.35">
      <c r="C33" s="751">
        <f>IF(AND(ISBLANK(D33),ISBLANK(E33)=FALSE),MAX(C$7:C32)+1,"")</f>
        <v>22</v>
      </c>
      <c r="D33" s="752"/>
      <c r="E33" s="758" t="s">
        <v>581</v>
      </c>
    </row>
    <row r="34" spans="3:5" ht="18" x14ac:dyDescent="0.4">
      <c r="C34" s="751" t="str">
        <f>IF(AND(ISBLANK(D34),ISBLANK(E34)=FALSE),MAX(C$7:C33)+1,"")</f>
        <v/>
      </c>
      <c r="D34" s="750" t="s">
        <v>14</v>
      </c>
    </row>
    <row r="35" spans="3:5" ht="21.65" customHeight="1" x14ac:dyDescent="0.35">
      <c r="C35" s="751">
        <f>IF(AND(ISBLANK(D35),ISBLANK(E35)=FALSE),MAX(C$7:C34)+1,"")</f>
        <v>23</v>
      </c>
      <c r="D35" s="752"/>
      <c r="E35" s="753" t="s">
        <v>559</v>
      </c>
    </row>
    <row r="36" spans="3:5" ht="64.400000000000006" customHeight="1" x14ac:dyDescent="0.35">
      <c r="C36" s="751">
        <f>IF(AND(ISBLANK(D36),ISBLANK(E36)=FALSE),MAX(C$7:C35)+1,"")</f>
        <v>24</v>
      </c>
      <c r="D36" s="752"/>
      <c r="E36" s="753" t="s">
        <v>15</v>
      </c>
    </row>
    <row r="37" spans="3:5" x14ac:dyDescent="0.35">
      <c r="C37" s="751">
        <f>IF(AND(ISBLANK(D37),ISBLANK(E37)=FALSE),MAX(C$7:C36)+1,"")</f>
        <v>25</v>
      </c>
      <c r="D37" s="752"/>
      <c r="E37" s="753" t="s">
        <v>597</v>
      </c>
    </row>
    <row r="38" spans="3:5" ht="21.65" customHeight="1" x14ac:dyDescent="0.35">
      <c r="C38" s="751">
        <f>IF(AND(ISBLANK(D38),ISBLANK(E38)=FALSE),MAX(C$7:C37)+1,"")</f>
        <v>26</v>
      </c>
      <c r="D38" s="752"/>
      <c r="E38" s="753" t="s">
        <v>560</v>
      </c>
    </row>
    <row r="39" spans="3:5" ht="18" x14ac:dyDescent="0.4">
      <c r="C39" s="751" t="str">
        <f>IF(AND(ISBLANK(D39),ISBLANK(E39)=FALSE),MAX(C$7:C38)+1,"")</f>
        <v/>
      </c>
      <c r="D39" s="750" t="s">
        <v>16</v>
      </c>
    </row>
    <row r="40" spans="3:5" ht="65.150000000000006" customHeight="1" x14ac:dyDescent="0.35">
      <c r="C40" s="751">
        <f>IF(AND(ISBLANK(D40),ISBLANK(E40)=FALSE),MAX(C$7:C39)+1,"")</f>
        <v>27</v>
      </c>
      <c r="E40" s="753" t="s">
        <v>561</v>
      </c>
    </row>
    <row r="41" spans="3:5" x14ac:dyDescent="0.35">
      <c r="C41" s="751">
        <f>IF(AND(ISBLANK(D41),ISBLANK(E41)=FALSE),MAX(C$7:C40)+1,"")</f>
        <v>28</v>
      </c>
      <c r="E41" s="753" t="s">
        <v>17</v>
      </c>
    </row>
    <row r="42" spans="3:5" ht="18" customHeight="1" x14ac:dyDescent="0.35">
      <c r="C42" s="751" t="str">
        <f>IF(AND(ISBLANK(D42),ISBLANK(E42)=FALSE),MAX(C$7:C38)+1,"")</f>
        <v/>
      </c>
      <c r="D42" s="759"/>
      <c r="E42" s="759"/>
    </row>
    <row r="43" spans="3:5" ht="18" x14ac:dyDescent="0.4">
      <c r="D43" s="750" t="s">
        <v>18</v>
      </c>
      <c r="E43" s="750"/>
    </row>
    <row r="44" spans="3:5" ht="18" x14ac:dyDescent="0.4">
      <c r="D44" s="750"/>
      <c r="E44" s="750"/>
    </row>
    <row r="45" spans="3:5" ht="18" x14ac:dyDescent="0.4">
      <c r="D45" s="750"/>
      <c r="E45" s="745" t="s">
        <v>630</v>
      </c>
    </row>
    <row r="46" spans="3:5" x14ac:dyDescent="0.35">
      <c r="D46" s="760" t="s">
        <v>19</v>
      </c>
      <c r="E46" s="755" t="s">
        <v>631</v>
      </c>
    </row>
    <row r="47" spans="3:5" ht="18" x14ac:dyDescent="0.4">
      <c r="D47" s="750"/>
      <c r="E47" s="750"/>
    </row>
    <row r="48" spans="3:5" ht="18" x14ac:dyDescent="0.4">
      <c r="D48" s="750"/>
      <c r="E48" s="745" t="s">
        <v>626</v>
      </c>
    </row>
    <row r="49" spans="4:5" x14ac:dyDescent="0.35">
      <c r="D49" s="760" t="s">
        <v>19</v>
      </c>
      <c r="E49" s="755" t="s">
        <v>627</v>
      </c>
    </row>
    <row r="50" spans="4:5" ht="18" x14ac:dyDescent="0.4">
      <c r="D50" s="750"/>
      <c r="E50" s="750"/>
    </row>
    <row r="51" spans="4:5" ht="18" x14ac:dyDescent="0.4">
      <c r="D51" s="745" t="s">
        <v>628</v>
      </c>
      <c r="E51" s="750"/>
    </row>
    <row r="52" spans="4:5" x14ac:dyDescent="0.35">
      <c r="D52" s="760" t="s">
        <v>19</v>
      </c>
      <c r="E52" s="755" t="s">
        <v>617</v>
      </c>
    </row>
    <row r="53" spans="4:5" ht="18" x14ac:dyDescent="0.4">
      <c r="D53" s="750"/>
      <c r="E53" s="750"/>
    </row>
    <row r="54" spans="4:5" ht="18" x14ac:dyDescent="0.4">
      <c r="D54" s="745" t="s">
        <v>620</v>
      </c>
      <c r="E54" s="750"/>
    </row>
    <row r="55" spans="4:5" x14ac:dyDescent="0.35">
      <c r="D55" s="760" t="s">
        <v>19</v>
      </c>
      <c r="E55" s="755" t="s">
        <v>552</v>
      </c>
    </row>
    <row r="56" spans="4:5" ht="18" x14ac:dyDescent="0.4">
      <c r="D56" s="750"/>
      <c r="E56" s="750"/>
    </row>
    <row r="57" spans="4:5" ht="18" x14ac:dyDescent="0.4">
      <c r="D57" s="745" t="s">
        <v>592</v>
      </c>
      <c r="E57" s="750"/>
    </row>
    <row r="58" spans="4:5" x14ac:dyDescent="0.35">
      <c r="D58" s="760" t="s">
        <v>19</v>
      </c>
      <c r="E58" s="755" t="s">
        <v>20</v>
      </c>
    </row>
    <row r="59" spans="4:5" x14ac:dyDescent="0.35">
      <c r="D59" s="760" t="s">
        <v>19</v>
      </c>
      <c r="E59" s="761" t="s">
        <v>21</v>
      </c>
    </row>
    <row r="60" spans="4:5" x14ac:dyDescent="0.35">
      <c r="D60" s="760"/>
      <c r="E60" s="761"/>
    </row>
    <row r="61" spans="4:5" ht="18" x14ac:dyDescent="0.4">
      <c r="D61" s="745" t="s">
        <v>22</v>
      </c>
      <c r="E61" s="750"/>
    </row>
    <row r="62" spans="4:5" x14ac:dyDescent="0.35">
      <c r="D62" s="760" t="s">
        <v>19</v>
      </c>
      <c r="E62" s="755" t="s">
        <v>23</v>
      </c>
    </row>
    <row r="63" spans="4:5" ht="35" x14ac:dyDescent="0.35">
      <c r="D63" s="760" t="s">
        <v>19</v>
      </c>
      <c r="E63" s="761" t="s">
        <v>24</v>
      </c>
    </row>
    <row r="64" spans="4:5" ht="18" x14ac:dyDescent="0.35">
      <c r="D64" s="762"/>
      <c r="E64" s="761"/>
    </row>
    <row r="65" spans="3:5" ht="18" x14ac:dyDescent="0.4">
      <c r="D65" s="745" t="s">
        <v>25</v>
      </c>
      <c r="E65" s="750"/>
    </row>
    <row r="66" spans="3:5" ht="35" x14ac:dyDescent="0.35">
      <c r="D66" s="763" t="s">
        <v>19</v>
      </c>
      <c r="E66" s="764" t="s">
        <v>26</v>
      </c>
    </row>
    <row r="67" spans="3:5" ht="18" x14ac:dyDescent="0.4">
      <c r="D67" s="750"/>
      <c r="E67" s="750"/>
    </row>
    <row r="68" spans="3:5" ht="18" x14ac:dyDescent="0.4">
      <c r="D68" s="745" t="s">
        <v>27</v>
      </c>
      <c r="E68" s="750"/>
    </row>
    <row r="69" spans="3:5" x14ac:dyDescent="0.35">
      <c r="C69" s="757"/>
      <c r="D69" s="763" t="s">
        <v>19</v>
      </c>
      <c r="E69" s="764" t="s">
        <v>28</v>
      </c>
    </row>
    <row r="70" spans="3:5" x14ac:dyDescent="0.35">
      <c r="D70" s="765" t="s">
        <v>19</v>
      </c>
      <c r="E70" s="745" t="s">
        <v>29</v>
      </c>
    </row>
    <row r="71" spans="3:5" x14ac:dyDescent="0.35">
      <c r="D71" s="765" t="s">
        <v>19</v>
      </c>
      <c r="E71" s="745" t="s">
        <v>30</v>
      </c>
    </row>
    <row r="72" spans="3:5" ht="18" x14ac:dyDescent="0.4">
      <c r="D72" s="750"/>
      <c r="E72" s="750"/>
    </row>
    <row r="73" spans="3:5" ht="18" x14ac:dyDescent="0.4">
      <c r="D73" s="745" t="s">
        <v>31</v>
      </c>
      <c r="E73" s="750"/>
    </row>
    <row r="74" spans="3:5" x14ac:dyDescent="0.35">
      <c r="D74" s="765" t="s">
        <v>19</v>
      </c>
      <c r="E74" s="745" t="s">
        <v>32</v>
      </c>
    </row>
    <row r="75" spans="3:5" ht="18" x14ac:dyDescent="0.4">
      <c r="D75" s="750"/>
      <c r="E75" s="750"/>
    </row>
    <row r="76" spans="3:5" ht="18" x14ac:dyDescent="0.4">
      <c r="D76" s="745" t="s">
        <v>33</v>
      </c>
      <c r="E76" s="750"/>
    </row>
    <row r="77" spans="3:5" x14ac:dyDescent="0.35">
      <c r="D77" s="765" t="s">
        <v>19</v>
      </c>
      <c r="E77" s="745" t="s">
        <v>34</v>
      </c>
    </row>
    <row r="78" spans="3:5" x14ac:dyDescent="0.35">
      <c r="D78" s="765"/>
      <c r="E78" s="766" t="s">
        <v>35</v>
      </c>
    </row>
    <row r="79" spans="3:5" x14ac:dyDescent="0.35">
      <c r="D79" s="765"/>
    </row>
    <row r="80" spans="3:5" ht="18" x14ac:dyDescent="0.4">
      <c r="D80" s="745" t="s">
        <v>36</v>
      </c>
      <c r="E80" s="750"/>
    </row>
    <row r="81" spans="3:5" x14ac:dyDescent="0.35">
      <c r="D81" s="765" t="s">
        <v>19</v>
      </c>
      <c r="E81" s="745" t="s">
        <v>37</v>
      </c>
    </row>
    <row r="82" spans="3:5" ht="18" x14ac:dyDescent="0.4">
      <c r="D82" s="750"/>
      <c r="E82" s="750"/>
    </row>
    <row r="83" spans="3:5" ht="18" x14ac:dyDescent="0.4">
      <c r="D83" s="745" t="s">
        <v>38</v>
      </c>
      <c r="E83" s="750"/>
    </row>
    <row r="84" spans="3:5" x14ac:dyDescent="0.35">
      <c r="D84" s="765" t="s">
        <v>19</v>
      </c>
      <c r="E84" s="745" t="s">
        <v>39</v>
      </c>
    </row>
    <row r="85" spans="3:5" ht="18" x14ac:dyDescent="0.4">
      <c r="C85" s="750"/>
      <c r="D85" s="765" t="s">
        <v>19</v>
      </c>
      <c r="E85" s="745" t="s">
        <v>40</v>
      </c>
    </row>
    <row r="86" spans="3:5" ht="18" x14ac:dyDescent="0.4">
      <c r="D86" s="750"/>
      <c r="E86" s="750"/>
    </row>
    <row r="87" spans="3:5" ht="18" x14ac:dyDescent="0.4">
      <c r="D87" s="745" t="s">
        <v>41</v>
      </c>
      <c r="E87" s="750"/>
    </row>
    <row r="88" spans="3:5" x14ac:dyDescent="0.35">
      <c r="D88" s="765" t="s">
        <v>19</v>
      </c>
      <c r="E88" s="745" t="s">
        <v>42</v>
      </c>
    </row>
    <row r="89" spans="3:5" x14ac:dyDescent="0.35">
      <c r="D89" s="765" t="s">
        <v>19</v>
      </c>
      <c r="E89" s="745" t="s">
        <v>43</v>
      </c>
    </row>
    <row r="90" spans="3:5" x14ac:dyDescent="0.35">
      <c r="D90" s="765" t="s">
        <v>19</v>
      </c>
      <c r="E90" s="745" t="s">
        <v>44</v>
      </c>
    </row>
    <row r="91" spans="3:5" x14ac:dyDescent="0.35">
      <c r="D91" s="765" t="s">
        <v>19</v>
      </c>
      <c r="E91" s="745" t="s">
        <v>45</v>
      </c>
    </row>
    <row r="92" spans="3:5" x14ac:dyDescent="0.35">
      <c r="D92" s="765" t="s">
        <v>19</v>
      </c>
      <c r="E92" s="745" t="s">
        <v>46</v>
      </c>
    </row>
    <row r="93" spans="3:5" x14ac:dyDescent="0.35">
      <c r="D93" s="765" t="s">
        <v>19</v>
      </c>
      <c r="E93" s="745" t="s">
        <v>47</v>
      </c>
    </row>
    <row r="94" spans="3:5" x14ac:dyDescent="0.35">
      <c r="D94" s="765"/>
    </row>
    <row r="95" spans="3:5" ht="18" x14ac:dyDescent="0.4">
      <c r="D95" s="745" t="s">
        <v>48</v>
      </c>
      <c r="E95" s="750"/>
    </row>
    <row r="96" spans="3:5" x14ac:dyDescent="0.35">
      <c r="D96" s="765" t="s">
        <v>19</v>
      </c>
      <c r="E96" s="745" t="s">
        <v>49</v>
      </c>
    </row>
    <row r="97" spans="3:5" x14ac:dyDescent="0.35">
      <c r="D97" s="765" t="s">
        <v>19</v>
      </c>
      <c r="E97" s="745" t="s">
        <v>50</v>
      </c>
    </row>
    <row r="98" spans="3:5" x14ac:dyDescent="0.35">
      <c r="D98" s="765" t="s">
        <v>19</v>
      </c>
      <c r="E98" s="745" t="s">
        <v>51</v>
      </c>
    </row>
    <row r="100" spans="3:5" x14ac:dyDescent="0.35">
      <c r="D100" s="745" t="s">
        <v>52</v>
      </c>
    </row>
    <row r="101" spans="3:5" x14ac:dyDescent="0.35">
      <c r="D101" s="765" t="s">
        <v>19</v>
      </c>
      <c r="E101" s="745" t="s">
        <v>53</v>
      </c>
    </row>
    <row r="102" spans="3:5" x14ac:dyDescent="0.35">
      <c r="C102" s="751" t="str">
        <f>IF(AND(ISBLANK(D102),ISBLANK(E102)=FALSE),MAX(C$7:C101)+1,"")</f>
        <v/>
      </c>
      <c r="D102" s="759"/>
      <c r="E102" s="759"/>
    </row>
  </sheetData>
  <sheetProtection algorithmName="SHA-512" hashValue="e9Y7oYeOt+LWUBkwTFtsk7x7NA5ygXQo7BKvQSaPQYqvGqszYnEyVRRJvknjKy4gsoJ+D5RNda8IzbJhaPLVIw==" saltValue="GKkCRQ5piVfUZYR7ggrDGw==" spinCount="100000" sheet="1" objects="1" scenarios="1" selectLockedCells="1"/>
  <dataConsolidate/>
  <mergeCells count="1">
    <mergeCell ref="A2:E2"/>
  </mergeCells>
  <phoneticPr fontId="2" type="noConversion"/>
  <printOptions horizontalCentered="1"/>
  <pageMargins left="0.23622047244094491" right="0.23622047244094491" top="0.74803149606299213" bottom="0.74803149606299213" header="0.31496062992125984" footer="0.31496062992125984"/>
  <pageSetup paperSize="9" scale="58" fitToHeight="2"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5"/>
  <sheetViews>
    <sheetView showGridLines="0" showRowColHeaders="0" zoomScale="80" zoomScaleNormal="80" workbookViewId="0">
      <selection activeCell="E72" sqref="E72"/>
    </sheetView>
  </sheetViews>
  <sheetFormatPr defaultColWidth="8.7265625" defaultRowHeight="12.5" x14ac:dyDescent="0.25"/>
  <cols>
    <col min="1" max="2" width="1.7265625" style="660" customWidth="1"/>
    <col min="3" max="3" width="6.26953125" style="660" customWidth="1"/>
    <col min="4" max="4" width="0.81640625" style="660" customWidth="1"/>
    <col min="5" max="5" width="141.7265625" style="660" customWidth="1"/>
    <col min="6" max="6" width="5.453125" style="660" customWidth="1"/>
    <col min="7" max="7" width="23" style="660" bestFit="1" customWidth="1"/>
    <col min="8" max="8" width="16.453125" style="660" bestFit="1" customWidth="1"/>
    <col min="9" max="9" width="12.7265625" style="660" bestFit="1" customWidth="1"/>
    <col min="10" max="10" width="16.26953125" style="660" bestFit="1" customWidth="1"/>
    <col min="11" max="11" width="16.1796875" style="660" bestFit="1" customWidth="1"/>
    <col min="12" max="16384" width="8.7265625" style="660"/>
  </cols>
  <sheetData>
    <row r="1" spans="1:5" ht="127" customHeight="1" x14ac:dyDescent="0.25">
      <c r="A1" s="767"/>
      <c r="B1" s="767"/>
      <c r="C1" s="767"/>
      <c r="D1" s="767"/>
      <c r="E1" s="767"/>
    </row>
    <row r="2" spans="1:5" ht="39.75" customHeight="1" x14ac:dyDescent="0.25">
      <c r="A2" s="824" t="s">
        <v>0</v>
      </c>
      <c r="B2" s="824"/>
      <c r="C2" s="824"/>
      <c r="D2" s="824"/>
      <c r="E2" s="824"/>
    </row>
    <row r="3" spans="1:5" ht="18" customHeight="1" x14ac:dyDescent="0.25">
      <c r="E3" s="330"/>
    </row>
    <row r="4" spans="1:5" ht="18" customHeight="1" x14ac:dyDescent="0.25">
      <c r="E4" s="330"/>
    </row>
    <row r="5" spans="1:5" ht="18" x14ac:dyDescent="0.4">
      <c r="C5" s="747" t="s">
        <v>593</v>
      </c>
      <c r="D5" s="747"/>
      <c r="E5" s="748"/>
    </row>
    <row r="6" spans="1:5" ht="18" x14ac:dyDescent="0.4">
      <c r="C6" s="746"/>
      <c r="D6" s="746"/>
      <c r="E6" s="749"/>
    </row>
    <row r="7" spans="1:5" ht="18" x14ac:dyDescent="0.4">
      <c r="C7" s="745"/>
      <c r="D7" s="750" t="s">
        <v>618</v>
      </c>
      <c r="E7" s="745"/>
    </row>
    <row r="8" spans="1:5" ht="21.65" customHeight="1" x14ac:dyDescent="0.25">
      <c r="C8" s="751">
        <f>IF(AND(ISBLANK(D8),ISBLANK(E8)=FALSE),MAX(C$7:C7)+1,"")</f>
        <v>1</v>
      </c>
      <c r="D8" s="752"/>
      <c r="E8" s="753" t="s">
        <v>548</v>
      </c>
    </row>
    <row r="9" spans="1:5" ht="21.65" customHeight="1" x14ac:dyDescent="0.25">
      <c r="C9" s="751">
        <f>IF(AND(ISBLANK(D9),ISBLANK(E9)=FALSE),MAX(C$7:C8)+1,"")</f>
        <v>2</v>
      </c>
      <c r="D9" s="751"/>
      <c r="E9" s="753" t="s">
        <v>549</v>
      </c>
    </row>
    <row r="10" spans="1:5" ht="21.65" customHeight="1" x14ac:dyDescent="0.25">
      <c r="C10" s="751">
        <f>IF(AND(ISBLANK(D10),ISBLANK(E10)=FALSE),MAX(C$7:C9)+1,"")</f>
        <v>3</v>
      </c>
      <c r="D10" s="751"/>
      <c r="E10" s="753" t="s">
        <v>550</v>
      </c>
    </row>
    <row r="11" spans="1:5" ht="43" customHeight="1" x14ac:dyDescent="0.25">
      <c r="C11" s="751">
        <f>IF(AND(ISBLANK(D11),ISBLANK(E11)=FALSE),MAX(C$7:C10)+1,"")</f>
        <v>4</v>
      </c>
      <c r="E11" s="753" t="s">
        <v>551</v>
      </c>
    </row>
    <row r="12" spans="1:5" ht="43" customHeight="1" x14ac:dyDescent="0.25">
      <c r="C12" s="751">
        <f>IF(AND(ISBLANK(D12),ISBLANK(E12)=FALSE),MAX(C$7:C11)+1,"")</f>
        <v>5</v>
      </c>
      <c r="E12" s="753" t="s">
        <v>563</v>
      </c>
    </row>
    <row r="13" spans="1:5" ht="21.65" customHeight="1" x14ac:dyDescent="0.25">
      <c r="C13" s="751">
        <f>IF(AND(ISBLANK(D13),ISBLANK(E13)=FALSE),MAX(C$7:C12)+1,"")</f>
        <v>6</v>
      </c>
      <c r="E13" s="753" t="s">
        <v>564</v>
      </c>
    </row>
    <row r="14" spans="1:5" s="768" customFormat="1" ht="64.400000000000006" customHeight="1" x14ac:dyDescent="0.35">
      <c r="C14" s="769"/>
      <c r="E14" s="770" t="s">
        <v>565</v>
      </c>
    </row>
    <row r="15" spans="1:5" s="768" customFormat="1" ht="43" customHeight="1" x14ac:dyDescent="0.35">
      <c r="C15" s="769"/>
      <c r="E15" s="770" t="s">
        <v>518</v>
      </c>
    </row>
    <row r="16" spans="1:5" ht="21.65" customHeight="1" x14ac:dyDescent="0.25">
      <c r="C16" s="751">
        <f>IF(AND(ISBLANK(D16),ISBLANK(E16)=FALSE),MAX(C$7:C15)+1,"")</f>
        <v>7</v>
      </c>
      <c r="E16" s="753" t="s">
        <v>444</v>
      </c>
    </row>
    <row r="17" spans="3:5" ht="43" customHeight="1" x14ac:dyDescent="0.25">
      <c r="C17" s="751"/>
      <c r="E17" s="770" t="s">
        <v>562</v>
      </c>
    </row>
    <row r="18" spans="3:5" ht="21.65" customHeight="1" x14ac:dyDescent="0.25">
      <c r="C18" s="751">
        <f>IF(AND(ISBLANK(D18),ISBLANK(E18)=FALSE),MAX(C$7:C17)+1,"")</f>
        <v>8</v>
      </c>
      <c r="E18" s="753" t="s">
        <v>493</v>
      </c>
    </row>
    <row r="19" spans="3:5" ht="43" customHeight="1" x14ac:dyDescent="0.25">
      <c r="C19" s="751"/>
      <c r="E19" s="770" t="s">
        <v>566</v>
      </c>
    </row>
    <row r="20" spans="3:5" ht="21.65" customHeight="1" x14ac:dyDescent="0.25">
      <c r="C20" s="751">
        <f>IF(AND(ISBLANK(D20),ISBLANK(E20)=FALSE),MAX(C$7:C19)+1,"")</f>
        <v>9</v>
      </c>
      <c r="E20" s="753" t="s">
        <v>494</v>
      </c>
    </row>
    <row r="21" spans="3:5" ht="107.25" customHeight="1" x14ac:dyDescent="0.25">
      <c r="C21" s="751"/>
      <c r="E21" s="771" t="s">
        <v>567</v>
      </c>
    </row>
    <row r="22" spans="3:5" ht="21.65" customHeight="1" x14ac:dyDescent="0.25">
      <c r="C22" s="751">
        <f>IF(AND(ISBLANK(D22),ISBLANK(E22)=FALSE),MAX(C$7:C21)+1,"")</f>
        <v>10</v>
      </c>
      <c r="E22" s="753" t="s">
        <v>495</v>
      </c>
    </row>
    <row r="23" spans="3:5" ht="73.400000000000006" customHeight="1" x14ac:dyDescent="0.25">
      <c r="C23" s="751"/>
      <c r="E23" s="770" t="s">
        <v>496</v>
      </c>
    </row>
    <row r="24" spans="3:5" ht="21.65" customHeight="1" x14ac:dyDescent="0.25">
      <c r="C24" s="751">
        <f>IF(AND(ISBLANK(D24),ISBLANK(E24)=FALSE),MAX(C$7:C23)+1,"")</f>
        <v>11</v>
      </c>
      <c r="E24" s="753" t="s">
        <v>570</v>
      </c>
    </row>
    <row r="25" spans="3:5" ht="118" customHeight="1" x14ac:dyDescent="0.25">
      <c r="C25" s="751"/>
      <c r="E25" s="771" t="s">
        <v>568</v>
      </c>
    </row>
    <row r="26" spans="3:5" ht="21.65" customHeight="1" x14ac:dyDescent="0.25">
      <c r="C26" s="751">
        <f>IF(AND(ISBLANK(D26),ISBLANK(E26)=FALSE),MAX(C$7:C25)+1,"")</f>
        <v>12</v>
      </c>
      <c r="E26" s="753" t="s">
        <v>569</v>
      </c>
    </row>
    <row r="27" spans="3:5" ht="43" customHeight="1" x14ac:dyDescent="0.25">
      <c r="C27" s="751"/>
      <c r="E27" s="770" t="s">
        <v>615</v>
      </c>
    </row>
    <row r="28" spans="3:5" ht="21.65" customHeight="1" x14ac:dyDescent="0.25">
      <c r="C28" s="751">
        <f>IF(AND(ISBLANK(D28),ISBLANK(E28)=FALSE),MAX(C$7:C27)+1,"")</f>
        <v>13</v>
      </c>
      <c r="E28" s="753" t="s">
        <v>517</v>
      </c>
    </row>
    <row r="29" spans="3:5" ht="21.65" customHeight="1" x14ac:dyDescent="0.25">
      <c r="C29" s="751"/>
      <c r="E29" s="770" t="s">
        <v>616</v>
      </c>
    </row>
    <row r="30" spans="3:5" ht="43" customHeight="1" x14ac:dyDescent="0.25">
      <c r="C30" s="751"/>
      <c r="E30" s="770" t="s">
        <v>571</v>
      </c>
    </row>
    <row r="31" spans="3:5" ht="21.65" customHeight="1" x14ac:dyDescent="0.25">
      <c r="C31" s="751">
        <f>IF(AND(ISBLANK(D31),ISBLANK(E31)=FALSE),MAX(C$7:C30)+1,"")</f>
        <v>14</v>
      </c>
      <c r="E31" s="753" t="s">
        <v>519</v>
      </c>
    </row>
    <row r="32" spans="3:5" ht="64.400000000000006" customHeight="1" x14ac:dyDescent="0.25">
      <c r="C32" s="751"/>
      <c r="E32" s="770" t="s">
        <v>572</v>
      </c>
    </row>
    <row r="33" spans="3:5" ht="21.65" customHeight="1" x14ac:dyDescent="0.25">
      <c r="C33" s="751">
        <f>IF(AND(ISBLANK(D33),ISBLANK(E33)=FALSE),MAX(C$7:C32)+1,"")</f>
        <v>15</v>
      </c>
      <c r="E33" s="753" t="s">
        <v>573</v>
      </c>
    </row>
    <row r="34" spans="3:5" ht="21.65" customHeight="1" x14ac:dyDescent="0.25">
      <c r="C34" s="751"/>
      <c r="E34" s="770" t="s">
        <v>574</v>
      </c>
    </row>
    <row r="35" spans="3:5" ht="21.65" customHeight="1" x14ac:dyDescent="0.25">
      <c r="C35" s="751"/>
      <c r="E35" s="770" t="s">
        <v>575</v>
      </c>
    </row>
    <row r="36" spans="3:5" ht="21.65" customHeight="1" x14ac:dyDescent="0.25">
      <c r="C36" s="772">
        <f>IF(AND(ISBLANK(D36),ISBLANK(E36)=FALSE),MAX(C$7:C35)+1,"")</f>
        <v>16</v>
      </c>
      <c r="E36" s="773" t="s">
        <v>576</v>
      </c>
    </row>
    <row r="37" spans="3:5" ht="21.65" customHeight="1" x14ac:dyDescent="0.25">
      <c r="C37" s="772"/>
      <c r="E37" s="771" t="s">
        <v>577</v>
      </c>
    </row>
    <row r="38" spans="3:5" ht="43" customHeight="1" x14ac:dyDescent="0.25">
      <c r="C38" s="772"/>
      <c r="E38" s="771" t="s">
        <v>522</v>
      </c>
    </row>
    <row r="39" spans="3:5" ht="21.65" customHeight="1" x14ac:dyDescent="0.25">
      <c r="C39" s="772"/>
      <c r="E39" s="774" t="s">
        <v>578</v>
      </c>
    </row>
    <row r="40" spans="3:5" x14ac:dyDescent="0.25">
      <c r="E40" s="330"/>
    </row>
    <row r="41" spans="3:5" x14ac:dyDescent="0.25">
      <c r="E41" s="330"/>
    </row>
    <row r="42" spans="3:5" x14ac:dyDescent="0.25">
      <c r="E42" s="330"/>
    </row>
    <row r="43" spans="3:5" x14ac:dyDescent="0.25">
      <c r="E43" s="330"/>
    </row>
    <row r="44" spans="3:5" x14ac:dyDescent="0.25">
      <c r="E44" s="330"/>
    </row>
    <row r="45" spans="3:5" x14ac:dyDescent="0.25">
      <c r="E45" s="330"/>
    </row>
    <row r="46" spans="3:5" x14ac:dyDescent="0.25">
      <c r="E46" s="330"/>
    </row>
    <row r="47" spans="3:5" x14ac:dyDescent="0.25">
      <c r="E47" s="330"/>
    </row>
    <row r="48" spans="3:5" x14ac:dyDescent="0.25">
      <c r="E48" s="330"/>
    </row>
    <row r="49" spans="3:5" x14ac:dyDescent="0.25">
      <c r="E49" s="330"/>
    </row>
    <row r="50" spans="3:5" x14ac:dyDescent="0.25">
      <c r="E50" s="330"/>
    </row>
    <row r="51" spans="3:5" x14ac:dyDescent="0.25">
      <c r="E51" s="330"/>
    </row>
    <row r="52" spans="3:5" x14ac:dyDescent="0.25">
      <c r="E52" s="330"/>
    </row>
    <row r="53" spans="3:5" x14ac:dyDescent="0.25">
      <c r="E53" s="330"/>
    </row>
    <row r="54" spans="3:5" x14ac:dyDescent="0.25">
      <c r="E54" s="330"/>
    </row>
    <row r="55" spans="3:5" x14ac:dyDescent="0.25">
      <c r="E55" s="330"/>
    </row>
    <row r="63" spans="3:5" ht="21.65" customHeight="1" x14ac:dyDescent="0.25">
      <c r="C63" s="772">
        <f>IF(AND(ISBLANK(D63),ISBLANK(E63)=FALSE),MAX(C$7:C62)+1,"")</f>
        <v>17</v>
      </c>
      <c r="E63" s="773" t="s">
        <v>542</v>
      </c>
    </row>
    <row r="64" spans="3:5" ht="34" customHeight="1" x14ac:dyDescent="0.25">
      <c r="E64" s="771" t="s">
        <v>595</v>
      </c>
    </row>
    <row r="65" spans="5:5" ht="15.5" x14ac:dyDescent="0.35">
      <c r="E65" s="775" t="s">
        <v>594</v>
      </c>
    </row>
  </sheetData>
  <sheetProtection algorithmName="SHA-512" hashValue="fEnej/Rbc/VbwNSiUKWucnrSjzshVJXg7ohk5NMK4UQfkRX/0QYSS7KfLDyKx6VYq7C03//NiJXOcNFdDa5bvA==" saltValue="othRNmSWY4Z/KB/JZEGu7A==" spinCount="100000" sheet="1" objects="1" scenarios="1" selectLockedCells="1"/>
  <mergeCells count="1">
    <mergeCell ref="A2:E2"/>
  </mergeCells>
  <pageMargins left="0.23622047244094491" right="0.23622047244094491" top="0.74803149606299213" bottom="0.74803149606299213" header="0.31496062992125984" footer="0.31496062992125984"/>
  <pageSetup paperSize="9" scale="65" fitToHeight="0" orientation="portrait" r:id="rId1"/>
  <headerFooter>
    <oddHeader>&amp;L&amp;"Arial,Italic"ABCB Glazing Calculator | New features (NCC 2022)&amp;R&amp;"Inter,Italic"printed &amp;D</oddHeader>
    <oddFooter>&amp;L&amp;"Inter,Italic"&amp;F&amp;R&amp;"Inter,Italic"page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00"/>
  <sheetViews>
    <sheetView showGridLines="0" showRowColHeaders="0" zoomScale="60" zoomScaleNormal="60" workbookViewId="0">
      <selection activeCell="B52" sqref="B52"/>
    </sheetView>
  </sheetViews>
  <sheetFormatPr defaultColWidth="8.7265625" defaultRowHeight="12.5" x14ac:dyDescent="0.25"/>
  <cols>
    <col min="1" max="1" width="6" style="667" customWidth="1"/>
    <col min="2" max="2" width="37.453125" style="667" customWidth="1"/>
    <col min="3" max="3" width="39.1796875" style="667" customWidth="1"/>
    <col min="4" max="4" width="27.7265625" style="667" customWidth="1"/>
    <col min="5" max="5" width="79" style="667" customWidth="1"/>
    <col min="6" max="16384" width="8.7265625" style="667"/>
  </cols>
  <sheetData>
    <row r="1" spans="1:7" ht="135.65" customHeight="1" x14ac:dyDescent="0.25">
      <c r="A1" s="825"/>
      <c r="B1" s="825"/>
      <c r="C1" s="825"/>
      <c r="D1" s="825"/>
      <c r="E1" s="825"/>
      <c r="F1" s="825"/>
      <c r="G1" s="825"/>
    </row>
    <row r="2" spans="1:7" ht="39.75" customHeight="1" x14ac:dyDescent="0.25">
      <c r="A2" s="804" t="s">
        <v>0</v>
      </c>
      <c r="B2" s="804"/>
      <c r="C2" s="804"/>
      <c r="D2" s="804"/>
      <c r="E2" s="804"/>
      <c r="F2" s="804"/>
      <c r="G2" s="804"/>
    </row>
    <row r="3" spans="1:7" ht="13" customHeight="1" x14ac:dyDescent="0.25"/>
    <row r="5" spans="1:7" ht="18" x14ac:dyDescent="0.4">
      <c r="B5" s="685" t="s">
        <v>543</v>
      </c>
    </row>
    <row r="52" spans="2:2" ht="18" x14ac:dyDescent="0.4">
      <c r="B52" s="685" t="s">
        <v>545</v>
      </c>
    </row>
    <row r="100" spans="2:2" ht="18" x14ac:dyDescent="0.4">
      <c r="B100" s="685" t="s">
        <v>546</v>
      </c>
    </row>
  </sheetData>
  <sheetProtection algorithmName="SHA-512" hashValue="gzGX+1+YRYAjVE5arJ/AZ4tNJ33rzpyJS+pIIRXZDnYewDbF2lZfL1oUCUbYra4F0rWZGw9lYvgOlnQd8sFCjw==" saltValue="chnD0e9E4F8FkLkldjJQyg==" spinCount="100000" sheet="1" objects="1" scenarios="1" selectLockedCells="1"/>
  <mergeCells count="2">
    <mergeCell ref="A2:G2"/>
    <mergeCell ref="A1:G1"/>
  </mergeCells>
  <pageMargins left="0.23622047244094491" right="0.23622047244094491" top="0.74803149606299213" bottom="0.74803149606299213" header="0.31496062992125984" footer="0.31496062992125984"/>
  <pageSetup paperSize="9" scale="56" fitToHeight="0" orientation="landscape" r:id="rId1"/>
  <rowBreaks count="2" manualBreakCount="2">
    <brk id="51" max="16383" man="1"/>
    <brk id="9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8"/>
  <sheetViews>
    <sheetView showRowColHeaders="0" workbookViewId="0">
      <selection activeCell="M26" sqref="M26"/>
    </sheetView>
  </sheetViews>
  <sheetFormatPr defaultColWidth="9.1796875" defaultRowHeight="12.5" x14ac:dyDescent="0.25"/>
  <cols>
    <col min="1" max="1" width="1.7265625" style="778" customWidth="1"/>
    <col min="2" max="2" width="8.1796875" style="778" customWidth="1"/>
    <col min="3" max="3" width="8.453125" style="778" customWidth="1"/>
    <col min="4" max="4" width="7" style="778" customWidth="1"/>
    <col min="5" max="5" width="6.26953125" style="778" customWidth="1"/>
    <col min="6" max="6" width="8.1796875" style="778" bestFit="1" customWidth="1"/>
    <col min="7" max="16384" width="9.1796875" style="778"/>
  </cols>
  <sheetData>
    <row r="1" spans="2:2" s="155" customFormat="1" ht="13" x14ac:dyDescent="0.3">
      <c r="B1" s="35" t="s">
        <v>16</v>
      </c>
    </row>
    <row r="2" spans="2:2" s="155" customFormat="1" ht="13" x14ac:dyDescent="0.3">
      <c r="B2" s="776" t="s">
        <v>255</v>
      </c>
    </row>
    <row r="3" spans="2:2" s="155" customFormat="1" ht="13" x14ac:dyDescent="0.3">
      <c r="B3" s="776" t="s">
        <v>256</v>
      </c>
    </row>
    <row r="4" spans="2:2" s="155" customFormat="1" ht="13" x14ac:dyDescent="0.3">
      <c r="B4" s="776" t="s">
        <v>257</v>
      </c>
    </row>
    <row r="5" spans="2:2" s="155" customFormat="1" ht="13" x14ac:dyDescent="0.3">
      <c r="B5" s="777" t="s">
        <v>17</v>
      </c>
    </row>
    <row r="6" spans="2:2" s="155" customFormat="1" x14ac:dyDescent="0.25"/>
    <row r="7" spans="2:2" s="155" customFormat="1" x14ac:dyDescent="0.25"/>
    <row r="8" spans="2:2" s="155" customFormat="1" x14ac:dyDescent="0.25"/>
  </sheetData>
  <sheetProtection algorithmName="SHA-512" hashValue="QL82ScDOAP/71vg8Af9TfHqqB5CAbL1gJl7hoYDDtS8Q/RSRrnI9hXt3bglFFdy6lJQ/W5vVi90mbCh+bKYCLg==" saltValue="Z81bGQw0BEL5jG0pkpEeEw==" spinCount="100000" sheet="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9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CO153"/>
  <sheetViews>
    <sheetView topLeftCell="G9" workbookViewId="0">
      <selection activeCell="P21" sqref="P21:X27"/>
    </sheetView>
  </sheetViews>
  <sheetFormatPr defaultRowHeight="12.5" x14ac:dyDescent="0.25"/>
  <cols>
    <col min="1" max="1" width="1.7265625" customWidth="1"/>
    <col min="2" max="2" width="9" customWidth="1"/>
    <col min="3" max="3" width="9.1796875" customWidth="1"/>
    <col min="4" max="12" width="10.453125" customWidth="1"/>
    <col min="13" max="13" width="16.26953125" bestFit="1" customWidth="1"/>
    <col min="14" max="14" width="13.453125" bestFit="1" customWidth="1"/>
    <col min="15" max="15" width="18.453125" bestFit="1" customWidth="1"/>
    <col min="16" max="24" width="7.1796875" customWidth="1"/>
    <col min="25" max="25" width="18.453125" bestFit="1" customWidth="1"/>
    <col min="26" max="31" width="7.1796875" customWidth="1"/>
    <col min="32" max="32" width="5.7265625" customWidth="1"/>
    <col min="33" max="33" width="6.81640625" customWidth="1"/>
    <col min="34" max="62" width="5.7265625" customWidth="1"/>
    <col min="63" max="63" width="1.7265625" customWidth="1"/>
    <col min="64" max="72" width="5.7265625" customWidth="1"/>
    <col min="73" max="73" width="1.7265625" customWidth="1"/>
    <col min="74" max="82" width="5.7265625" customWidth="1"/>
    <col min="83" max="83" width="1.7265625" customWidth="1"/>
    <col min="84" max="92" width="5.7265625" customWidth="1"/>
  </cols>
  <sheetData>
    <row r="1" spans="1:93" ht="13" x14ac:dyDescent="0.3">
      <c r="A1" s="24"/>
      <c r="B1" s="25" t="s">
        <v>258</v>
      </c>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ht="13" x14ac:dyDescent="0.3">
      <c r="A2" s="24"/>
      <c r="B2" s="26" t="s">
        <v>259</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13" x14ac:dyDescent="0.3">
      <c r="A3" s="24"/>
      <c r="B3" s="26" t="s">
        <v>260</v>
      </c>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row>
    <row r="4" spans="1:93" ht="13" x14ac:dyDescent="0.3">
      <c r="A4" s="24"/>
      <c r="B4" s="26" t="s">
        <v>261</v>
      </c>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row>
    <row r="5" spans="1:93" ht="13" x14ac:dyDescent="0.3">
      <c r="A5" s="24"/>
      <c r="B5" s="26" t="s">
        <v>262</v>
      </c>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row>
    <row r="6" spans="1:93"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row>
    <row r="7" spans="1:93" x14ac:dyDescent="0.25">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row>
    <row r="8" spans="1:93"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row>
    <row r="9" spans="1:93"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row>
    <row r="10" spans="1:93" ht="13" x14ac:dyDescent="0.3">
      <c r="A10" s="24"/>
      <c r="B10" s="71" t="s">
        <v>263</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row>
    <row r="11" spans="1:93" ht="13" x14ac:dyDescent="0.3">
      <c r="A11" s="24"/>
      <c r="B11" s="35" t="s">
        <v>264</v>
      </c>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row>
    <row r="12" spans="1:93" ht="13" x14ac:dyDescent="0.3">
      <c r="A12" s="24"/>
      <c r="B12" s="26" t="s">
        <v>265</v>
      </c>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row>
    <row r="13" spans="1:93" ht="13" x14ac:dyDescent="0.3">
      <c r="A13" s="24"/>
      <c r="B13" s="26" t="s">
        <v>266</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row>
    <row r="14" spans="1:93"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row>
    <row r="15" spans="1:93" ht="16.5" customHeight="1" x14ac:dyDescent="0.3">
      <c r="A15" s="24"/>
      <c r="B15" s="35" t="s">
        <v>267</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row>
    <row r="16" spans="1:93" ht="16.5" customHeight="1" x14ac:dyDescent="0.25">
      <c r="A16" s="24"/>
      <c r="B16" s="24"/>
      <c r="C16" s="36" t="s">
        <v>268</v>
      </c>
      <c r="D16" s="37">
        <v>1</v>
      </c>
      <c r="E16" s="37">
        <v>2</v>
      </c>
      <c r="F16" s="37">
        <v>3</v>
      </c>
      <c r="G16" s="37">
        <v>4</v>
      </c>
      <c r="H16" s="37">
        <v>5</v>
      </c>
      <c r="I16" s="37" t="s">
        <v>394</v>
      </c>
      <c r="J16" s="37">
        <v>6</v>
      </c>
      <c r="K16" s="37">
        <v>7</v>
      </c>
      <c r="L16" s="37">
        <v>8</v>
      </c>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159" t="s">
        <v>376</v>
      </c>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row>
    <row r="17" spans="1:93" ht="16.5" customHeight="1" x14ac:dyDescent="0.4">
      <c r="A17" s="24"/>
      <c r="B17" s="38" t="s">
        <v>79</v>
      </c>
      <c r="C17" s="39" t="s">
        <v>269</v>
      </c>
      <c r="D17" s="247">
        <v>1.65</v>
      </c>
      <c r="E17" s="248">
        <f>'CZ02 Factors'!$P$28</f>
        <v>9.5989827330437247</v>
      </c>
      <c r="F17" s="248">
        <f>'CZ03 Factors'!$P$28</f>
        <v>19.098974024000775</v>
      </c>
      <c r="G17" s="248">
        <f>'CZ04 Factors'!$P$28</f>
        <v>10.2487168088355</v>
      </c>
      <c r="H17" s="248">
        <f>'CZ05 Factors'!$P$28</f>
        <v>8.888073159950423</v>
      </c>
      <c r="I17" s="248">
        <f>'CZ05 BC Factors'!$P$28</f>
        <v>8.7946581423304071</v>
      </c>
      <c r="J17" s="248">
        <f>'CZ06 Factors'!$P$28</f>
        <v>8.4489529606611775</v>
      </c>
      <c r="K17" s="248">
        <v>7.02</v>
      </c>
      <c r="L17" s="249">
        <f>'CZ08 Factors'!$P$28</f>
        <v>4.9338192416188535</v>
      </c>
      <c r="M17" s="24"/>
      <c r="N17" s="24"/>
      <c r="O17" s="24"/>
      <c r="P17" s="24"/>
      <c r="Q17" s="24"/>
      <c r="R17" s="24"/>
      <c r="S17" s="24"/>
      <c r="T17" s="24"/>
      <c r="U17" s="24"/>
      <c r="V17" s="24"/>
      <c r="W17" s="24"/>
      <c r="X17" s="24"/>
      <c r="Y17" s="24"/>
      <c r="Z17" s="24"/>
      <c r="AA17" s="24"/>
      <c r="AB17" s="24"/>
      <c r="AC17" s="24"/>
      <c r="AD17" s="24"/>
      <c r="AE17" s="24"/>
      <c r="AF17" s="24"/>
      <c r="AG17" s="24"/>
      <c r="AH17" s="24"/>
      <c r="AI17" s="24"/>
      <c r="AK17" s="24"/>
      <c r="AL17" s="155" t="s">
        <v>112</v>
      </c>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U17" s="24"/>
      <c r="BV17" s="24"/>
      <c r="BW17" s="24"/>
      <c r="BX17" s="24"/>
      <c r="BY17" s="24"/>
      <c r="BZ17" s="24"/>
      <c r="CA17" s="24"/>
      <c r="CB17" s="24"/>
      <c r="CC17" s="24"/>
      <c r="CD17" s="24"/>
      <c r="CE17" s="24"/>
      <c r="CF17" s="24"/>
      <c r="CG17" s="24"/>
      <c r="CH17" s="24"/>
      <c r="CI17" s="24"/>
      <c r="CJ17" s="24"/>
      <c r="CK17" s="24"/>
      <c r="CL17" s="24"/>
      <c r="CM17" s="24"/>
      <c r="CN17" s="24"/>
      <c r="CO17" s="24"/>
    </row>
    <row r="18" spans="1:93" ht="16.5" customHeight="1" thickBot="1" x14ac:dyDescent="0.45">
      <c r="A18" s="24"/>
      <c r="C18" s="199" t="s">
        <v>270</v>
      </c>
      <c r="D18" s="236" t="e">
        <f ca="1">D26</f>
        <v>#DIV/0!</v>
      </c>
      <c r="E18" s="236" t="e">
        <f t="shared" ref="E18:L18" ca="1" si="0">E26</f>
        <v>#DIV/0!</v>
      </c>
      <c r="F18" s="236" t="e">
        <f t="shared" ca="1" si="0"/>
        <v>#DIV/0!</v>
      </c>
      <c r="G18" s="236" t="e">
        <f t="shared" ca="1" si="0"/>
        <v>#DIV/0!</v>
      </c>
      <c r="H18" s="236" t="e">
        <f t="shared" ca="1" si="0"/>
        <v>#DIV/0!</v>
      </c>
      <c r="I18" s="236" t="e">
        <f t="shared" ca="1" si="0"/>
        <v>#DIV/0!</v>
      </c>
      <c r="J18" s="236" t="e">
        <f t="shared" si="0"/>
        <v>#DIV/0!</v>
      </c>
      <c r="K18" s="236" t="e">
        <f t="shared" ca="1" si="0"/>
        <v>#DIV/0!</v>
      </c>
      <c r="L18" s="236" t="e">
        <f t="shared" ca="1" si="0"/>
        <v>#DIV/0!</v>
      </c>
      <c r="M18" s="24"/>
      <c r="N18" s="24"/>
      <c r="O18" s="24"/>
      <c r="Q18" s="24"/>
      <c r="R18" s="24"/>
      <c r="S18" s="24"/>
      <c r="T18" s="24"/>
      <c r="U18" s="24"/>
      <c r="V18" s="24"/>
      <c r="W18" s="24"/>
      <c r="X18" s="24"/>
      <c r="Z18" s="24"/>
      <c r="AA18" s="24"/>
      <c r="AB18" s="24"/>
      <c r="AC18" s="24"/>
      <c r="AD18" s="24"/>
      <c r="AE18" s="24"/>
      <c r="AF18" s="24"/>
      <c r="AG18" s="24"/>
      <c r="AH18" s="24"/>
      <c r="AI18" s="24"/>
      <c r="AK18" s="190" t="s">
        <v>456</v>
      </c>
      <c r="AL18" s="24"/>
      <c r="AM18" s="24"/>
      <c r="AN18" s="24"/>
      <c r="AO18" s="24"/>
      <c r="AP18" s="24"/>
      <c r="AQ18" s="24"/>
      <c r="AR18" s="24"/>
      <c r="AS18" s="24"/>
      <c r="AT18" s="24"/>
      <c r="AU18" s="24"/>
      <c r="AV18" s="155" t="s">
        <v>481</v>
      </c>
      <c r="AW18" s="24"/>
      <c r="AX18" s="24"/>
      <c r="AY18" s="24"/>
      <c r="AZ18" s="24"/>
      <c r="BA18" s="24"/>
      <c r="BB18" s="24"/>
      <c r="BC18" s="24"/>
      <c r="BD18" s="24"/>
      <c r="BE18" s="24"/>
      <c r="BF18" s="24"/>
      <c r="BG18" s="24"/>
      <c r="BH18" s="24"/>
      <c r="BI18" s="24"/>
      <c r="BJ18" s="24"/>
      <c r="BK18" s="24"/>
      <c r="BU18" s="24"/>
      <c r="BV18" s="24"/>
      <c r="BW18" s="24"/>
      <c r="BX18" s="24"/>
      <c r="BY18" s="24"/>
      <c r="BZ18" s="24"/>
      <c r="CA18" s="24"/>
      <c r="CB18" s="24"/>
      <c r="CC18" s="24"/>
      <c r="CD18" s="24"/>
      <c r="CE18" s="24"/>
      <c r="CF18" s="24"/>
      <c r="CG18" s="24"/>
      <c r="CH18" s="24"/>
      <c r="CI18" s="24"/>
      <c r="CJ18" s="24"/>
      <c r="CK18" s="24"/>
      <c r="CL18" s="24"/>
      <c r="CM18" s="24"/>
      <c r="CN18" s="24"/>
      <c r="CO18" s="24"/>
    </row>
    <row r="19" spans="1:93" ht="16.5" customHeight="1" thickBot="1" x14ac:dyDescent="0.45">
      <c r="A19" s="24"/>
      <c r="B19" s="196">
        <v>0.05</v>
      </c>
      <c r="C19" s="40" t="s">
        <v>314</v>
      </c>
      <c r="D19" s="236">
        <f>'CZ01 Factors'!Q5</f>
        <v>6.7212360090037948E-2</v>
      </c>
      <c r="E19" s="237">
        <v>5.9472570145539569E-2</v>
      </c>
      <c r="F19" s="237">
        <f>'CZ03 Factors'!Q5</f>
        <v>9.4545843120608403E-2</v>
      </c>
      <c r="G19" s="237">
        <f>'CZ04 Factors'!Q5</f>
        <v>6.0398408072358876E-2</v>
      </c>
      <c r="H19" s="237">
        <f>'CZ05 Factors'!Q5</f>
        <v>4.8448242936761449E-2</v>
      </c>
      <c r="I19" s="237">
        <f>'CZ05 BC Factors'!Q5</f>
        <v>6.5661352889837057E-2</v>
      </c>
      <c r="J19" s="237">
        <f>'CZ06 Factors'!Q5</f>
        <v>7.8644415883341229E-2</v>
      </c>
      <c r="K19" s="237">
        <f>'CZ07 Factors'!Q5</f>
        <v>7.6190221484248741E-2</v>
      </c>
      <c r="L19" s="238">
        <f>'CZ08 Factors'!Q5</f>
        <v>0.1879170335479888</v>
      </c>
      <c r="M19" s="24"/>
      <c r="N19" s="24"/>
      <c r="P19" s="228" t="s">
        <v>452</v>
      </c>
      <c r="Q19" s="229"/>
      <c r="R19" s="24"/>
      <c r="S19" s="24"/>
      <c r="T19" s="24"/>
      <c r="U19" s="24"/>
      <c r="V19" s="24"/>
      <c r="W19" s="24"/>
      <c r="X19" s="24"/>
      <c r="AK19" s="160" t="s">
        <v>324</v>
      </c>
      <c r="AL19" s="151" t="s">
        <v>277</v>
      </c>
      <c r="AM19" s="151" t="s">
        <v>278</v>
      </c>
      <c r="AN19" s="151" t="s">
        <v>279</v>
      </c>
      <c r="AO19" s="151" t="s">
        <v>280</v>
      </c>
      <c r="AP19" s="151" t="s">
        <v>281</v>
      </c>
      <c r="AQ19" s="151" t="s">
        <v>282</v>
      </c>
      <c r="AR19" s="151" t="s">
        <v>283</v>
      </c>
      <c r="AS19" s="152" t="s">
        <v>284</v>
      </c>
      <c r="AT19" s="24"/>
      <c r="AU19" s="24"/>
      <c r="AV19" s="204" t="s">
        <v>279</v>
      </c>
      <c r="AW19" s="205">
        <v>3</v>
      </c>
      <c r="AX19" s="24"/>
      <c r="AY19" s="24"/>
      <c r="AZ19" s="24"/>
      <c r="BA19" s="24"/>
      <c r="BB19" s="24"/>
      <c r="BC19" s="24"/>
      <c r="BD19" s="24"/>
      <c r="BE19" s="24"/>
      <c r="BF19" s="24"/>
      <c r="BG19" s="24"/>
      <c r="BH19" s="24"/>
      <c r="BI19" s="24"/>
      <c r="BJ19" s="24"/>
      <c r="BK19" s="24"/>
      <c r="BU19" s="24"/>
      <c r="BV19" s="24"/>
      <c r="BW19" s="24"/>
      <c r="BX19" s="24"/>
      <c r="BY19" s="24"/>
      <c r="BZ19" s="24"/>
      <c r="CA19" s="24"/>
      <c r="CB19" s="24"/>
      <c r="CC19" s="24"/>
      <c r="CD19" s="24"/>
      <c r="CE19" s="24"/>
      <c r="CF19" s="24"/>
      <c r="CG19" s="24"/>
      <c r="CH19" s="24"/>
      <c r="CI19" s="24"/>
      <c r="CJ19" s="24"/>
      <c r="CK19" s="24"/>
      <c r="CL19" s="24"/>
      <c r="CM19" s="24"/>
      <c r="CN19" s="24"/>
      <c r="CO19" s="24"/>
    </row>
    <row r="20" spans="1:93" ht="16.5" customHeight="1" thickBot="1" x14ac:dyDescent="0.45">
      <c r="A20" s="24"/>
      <c r="B20" s="197">
        <v>0.1</v>
      </c>
      <c r="C20" s="177" t="s">
        <v>315</v>
      </c>
      <c r="D20" s="239">
        <f>'CZ01 Factors'!Q6</f>
        <v>7.1833186922944811E-2</v>
      </c>
      <c r="E20" s="240">
        <v>6.4026766119675116E-2</v>
      </c>
      <c r="F20" s="240">
        <f>'CZ03 Factors'!Q6</f>
        <v>9.8522129991632124E-2</v>
      </c>
      <c r="G20" s="240">
        <f>'CZ04 Factors'!Q6</f>
        <v>6.2590889275366393E-2</v>
      </c>
      <c r="H20" s="240">
        <f>'CZ05 Factors'!Q6</f>
        <v>5.3754585621250045E-2</v>
      </c>
      <c r="I20" s="240">
        <f>'CZ05 BC Factors'!Q6</f>
        <v>6.9470876699360862E-2</v>
      </c>
      <c r="J20" s="240">
        <f>'CZ06 Factors'!Q6</f>
        <v>8.1692034930960278E-2</v>
      </c>
      <c r="K20" s="240">
        <f>'CZ07 Factors'!Q6</f>
        <v>8.2141689371200491E-2</v>
      </c>
      <c r="L20" s="241">
        <f>'CZ08 Factors'!Q6</f>
        <v>0.19036399917634542</v>
      </c>
      <c r="M20" s="24"/>
      <c r="N20" s="24"/>
      <c r="O20" s="24"/>
      <c r="P20">
        <v>1</v>
      </c>
      <c r="Q20" s="24">
        <v>2</v>
      </c>
      <c r="R20" s="24">
        <v>3</v>
      </c>
      <c r="S20" s="24">
        <v>4</v>
      </c>
      <c r="T20">
        <v>5</v>
      </c>
      <c r="U20" s="24">
        <v>6</v>
      </c>
      <c r="V20" s="24">
        <v>7</v>
      </c>
      <c r="W20" s="24">
        <v>8</v>
      </c>
      <c r="X20">
        <v>9</v>
      </c>
      <c r="Y20" s="24"/>
      <c r="Z20" s="228" t="s">
        <v>453</v>
      </c>
      <c r="AA20" s="230"/>
      <c r="AK20" s="156" t="s">
        <v>479</v>
      </c>
      <c r="AL20">
        <v>1</v>
      </c>
      <c r="AM20">
        <v>2</v>
      </c>
      <c r="AN20">
        <v>3</v>
      </c>
      <c r="AO20">
        <v>4</v>
      </c>
      <c r="AP20">
        <v>5</v>
      </c>
      <c r="AQ20">
        <v>6</v>
      </c>
      <c r="AR20">
        <v>7</v>
      </c>
      <c r="AS20">
        <v>8</v>
      </c>
      <c r="AT20" s="24"/>
      <c r="AU20" s="24"/>
      <c r="AV20" s="206" t="s">
        <v>277</v>
      </c>
      <c r="AW20" s="207">
        <v>1</v>
      </c>
      <c r="AX20" s="24"/>
      <c r="AY20" s="24"/>
      <c r="AZ20" s="24"/>
      <c r="BA20" s="24"/>
      <c r="BB20" s="24"/>
      <c r="BC20" s="24"/>
      <c r="BD20" s="24"/>
      <c r="BE20" s="24"/>
      <c r="BF20" s="24"/>
      <c r="BG20" s="24"/>
      <c r="BH20" s="24"/>
      <c r="BI20" s="24"/>
      <c r="BJ20" s="24"/>
      <c r="BK20" s="24"/>
      <c r="BU20" s="24"/>
      <c r="BV20" s="24"/>
      <c r="BW20" s="24"/>
      <c r="BX20" s="24"/>
      <c r="BY20" s="24"/>
      <c r="BZ20" s="24"/>
      <c r="CA20" s="24"/>
      <c r="CB20" s="24"/>
      <c r="CC20" s="24"/>
      <c r="CD20" s="24"/>
      <c r="CE20" s="24"/>
      <c r="CF20" s="24"/>
      <c r="CG20" s="24"/>
      <c r="CH20" s="24"/>
      <c r="CI20" s="24"/>
      <c r="CJ20" s="24"/>
      <c r="CK20" s="24"/>
      <c r="CL20" s="24"/>
      <c r="CM20" s="24"/>
      <c r="CN20" s="24"/>
      <c r="CO20" s="24"/>
    </row>
    <row r="21" spans="1:93" ht="16.5" customHeight="1" x14ac:dyDescent="0.4">
      <c r="A21" s="24"/>
      <c r="B21" s="197">
        <v>0.15</v>
      </c>
      <c r="C21" s="177" t="s">
        <v>316</v>
      </c>
      <c r="D21" s="239">
        <f>'CZ01 Factors'!Q7</f>
        <v>7.6967438959507972E-2</v>
      </c>
      <c r="E21" s="240">
        <v>6.816694427798016E-2</v>
      </c>
      <c r="F21" s="240">
        <f>'CZ03 Factors'!Q7</f>
        <v>0.10011264474004161</v>
      </c>
      <c r="G21" s="240">
        <f>'CZ04 Factors'!Q7</f>
        <v>6.4052543410704738E-2</v>
      </c>
      <c r="H21" s="240">
        <f>'CZ05 Factors'!Q7</f>
        <v>5.6875963670949214E-2</v>
      </c>
      <c r="I21" s="240">
        <f>'CZ05 BC Factors'!Q7</f>
        <v>7.1375638604122771E-2</v>
      </c>
      <c r="J21" s="240">
        <f>'CZ06 Factors'!Q7</f>
        <v>8.3215844454769802E-2</v>
      </c>
      <c r="K21" s="240">
        <f>'CZ07 Factors'!Q7</f>
        <v>8.7101245943660296E-2</v>
      </c>
      <c r="L21" s="241">
        <f>'CZ08 Factors'!Q7</f>
        <v>0.19444227522360641</v>
      </c>
      <c r="M21" s="24"/>
      <c r="N21" s="24"/>
      <c r="O21" s="155" t="s">
        <v>328</v>
      </c>
      <c r="P21" s="212">
        <v>1</v>
      </c>
      <c r="Q21" s="213">
        <v>2</v>
      </c>
      <c r="R21" s="213">
        <v>3</v>
      </c>
      <c r="S21" s="213">
        <v>4</v>
      </c>
      <c r="T21" s="213">
        <v>5</v>
      </c>
      <c r="U21" s="213" t="s">
        <v>394</v>
      </c>
      <c r="V21" s="213">
        <v>6</v>
      </c>
      <c r="W21" s="213">
        <v>7</v>
      </c>
      <c r="X21" s="214">
        <v>8</v>
      </c>
      <c r="Y21" s="155" t="s">
        <v>353</v>
      </c>
      <c r="Z21" s="225">
        <v>1</v>
      </c>
      <c r="AA21" s="226">
        <v>2</v>
      </c>
      <c r="AB21" s="226">
        <v>3</v>
      </c>
      <c r="AC21" s="226">
        <v>4</v>
      </c>
      <c r="AD21" s="226">
        <v>5</v>
      </c>
      <c r="AE21" s="226" t="s">
        <v>394</v>
      </c>
      <c r="AF21" s="226">
        <v>6</v>
      </c>
      <c r="AG21" s="226">
        <v>7</v>
      </c>
      <c r="AH21" s="227">
        <v>8</v>
      </c>
      <c r="AK21" s="145">
        <v>1</v>
      </c>
      <c r="AL21" s="147">
        <v>0</v>
      </c>
      <c r="AM21" s="147">
        <v>0</v>
      </c>
      <c r="AN21" s="147">
        <v>0</v>
      </c>
      <c r="AO21" s="147">
        <v>0</v>
      </c>
      <c r="AP21" s="147">
        <v>0</v>
      </c>
      <c r="AQ21" s="147">
        <v>0</v>
      </c>
      <c r="AR21" s="147">
        <v>0</v>
      </c>
      <c r="AS21" s="148">
        <v>0</v>
      </c>
      <c r="AT21" s="24"/>
      <c r="AU21" s="24"/>
      <c r="AV21" s="206" t="s">
        <v>278</v>
      </c>
      <c r="AW21" s="207">
        <v>2</v>
      </c>
      <c r="AX21" s="24"/>
      <c r="AY21" s="24"/>
      <c r="AZ21" s="24"/>
      <c r="BA21" s="24"/>
      <c r="BB21" s="24"/>
      <c r="BC21" s="24"/>
      <c r="BD21" s="24"/>
      <c r="BE21" s="24"/>
      <c r="BF21" s="24"/>
      <c r="BG21" s="24"/>
      <c r="BH21" s="24"/>
      <c r="BI21" s="24"/>
      <c r="BJ21" s="24"/>
      <c r="BK21" s="24"/>
      <c r="BU21" s="24"/>
      <c r="BV21" s="24"/>
      <c r="BW21" s="24"/>
      <c r="BX21" s="24"/>
      <c r="BY21" s="24"/>
      <c r="BZ21" s="24"/>
      <c r="CA21" s="24"/>
      <c r="CB21" s="24"/>
      <c r="CC21" s="24"/>
      <c r="CD21" s="24"/>
      <c r="CE21" s="24"/>
      <c r="CF21" s="24"/>
      <c r="CG21" s="24"/>
      <c r="CH21" s="24"/>
      <c r="CI21" s="24"/>
      <c r="CJ21" s="24"/>
      <c r="CK21" s="24"/>
      <c r="CL21" s="24"/>
      <c r="CM21" s="24"/>
      <c r="CN21" s="24"/>
      <c r="CO21" s="24"/>
    </row>
    <row r="22" spans="1:93" ht="16.5" customHeight="1" x14ac:dyDescent="0.4">
      <c r="A22" s="24"/>
      <c r="B22" s="197">
        <v>0.2</v>
      </c>
      <c r="C22" s="177" t="s">
        <v>317</v>
      </c>
      <c r="D22" s="239">
        <f>'CZ01 Factors'!Q8</f>
        <v>8.2672163444578145E-2</v>
      </c>
      <c r="E22" s="240">
        <v>7.1930742603712017E-2</v>
      </c>
      <c r="F22" s="240">
        <f>'CZ03 Factors'!Q8</f>
        <v>0.10074885063940539</v>
      </c>
      <c r="G22" s="240">
        <f>'CZ04 Factors'!Q8</f>
        <v>6.502697950093031E-2</v>
      </c>
      <c r="H22" s="240">
        <f>'CZ05 Factors'!Q8</f>
        <v>5.8712068406066367E-2</v>
      </c>
      <c r="I22" s="240">
        <f>'CZ05 BC Factors'!Q8</f>
        <v>7.2328019556503725E-2</v>
      </c>
      <c r="J22" s="240">
        <f>'CZ06 Factors'!Q8</f>
        <v>8.3977749216674558E-2</v>
      </c>
      <c r="K22" s="240">
        <f>'CZ07 Factors'!Q8</f>
        <v>9.1234209754043463E-2</v>
      </c>
      <c r="L22" s="241">
        <f>'CZ08 Factors'!Q8</f>
        <v>0.20123940196904144</v>
      </c>
      <c r="M22" s="24"/>
      <c r="N22">
        <v>1</v>
      </c>
      <c r="O22" s="145" t="s">
        <v>318</v>
      </c>
      <c r="P22" s="222">
        <f>'CZ01 Factors'!N5</f>
        <v>0.6</v>
      </c>
      <c r="Q22" s="193">
        <f>'CZ02 Factors'!N5</f>
        <v>0.6</v>
      </c>
      <c r="R22" s="193">
        <f>'CZ03 Factors'!N5</f>
        <v>0.9</v>
      </c>
      <c r="S22" s="193">
        <f>'CZ04 Factors'!N5</f>
        <v>0.35</v>
      </c>
      <c r="T22" s="193">
        <f>'CZ05 Factors'!N5</f>
        <v>0.45</v>
      </c>
      <c r="U22" s="193">
        <f>'CZ05 BC Factors'!N5</f>
        <v>0.5</v>
      </c>
      <c r="V22" s="193">
        <f>'CZ06 Factors'!N5</f>
        <v>0.6</v>
      </c>
      <c r="W22" s="193">
        <f>'CZ07 Factors'!N5</f>
        <v>0.4</v>
      </c>
      <c r="X22" s="216">
        <f>'CZ08 Factors'!N5</f>
        <v>0.7</v>
      </c>
      <c r="Y22" s="147" t="s">
        <v>318</v>
      </c>
      <c r="Z22" s="222">
        <f>'CZ01 Factors'!N24</f>
        <v>0.56999999999999995</v>
      </c>
      <c r="AA22" s="193">
        <f>'CZ02 Factors'!N42</f>
        <v>0.4</v>
      </c>
      <c r="AB22" s="193">
        <f>'CZ03 Factors'!N42</f>
        <v>0.7</v>
      </c>
      <c r="AC22" s="193">
        <f>'CZ04 Factors'!N42</f>
        <v>0.8</v>
      </c>
      <c r="AD22" s="193">
        <f>'CZ05 Factors'!N42</f>
        <v>0.52</v>
      </c>
      <c r="AE22" s="193">
        <f>'CZ05 BC Factors'!N42</f>
        <v>0.35</v>
      </c>
      <c r="AF22" s="193">
        <f>'CZ06 Factors'!N40</f>
        <v>0.8</v>
      </c>
      <c r="AG22" s="193">
        <f>'CZ07 Factors'!N42</f>
        <v>0.4</v>
      </c>
      <c r="AH22" s="216">
        <f>'CZ08 Factors'!N42</f>
        <v>0.8</v>
      </c>
      <c r="AK22" s="149">
        <v>2</v>
      </c>
      <c r="AL22" s="150">
        <f>'CZ02 Factors'!P22</f>
        <v>1.1100000000000001</v>
      </c>
      <c r="AM22" s="150">
        <f>'CZ02 Factors'!Q22</f>
        <v>0.97</v>
      </c>
      <c r="AN22" s="150">
        <f>'CZ02 Factors'!R22</f>
        <v>0.83</v>
      </c>
      <c r="AO22" s="150">
        <f>'CZ02 Factors'!S22</f>
        <v>0.81</v>
      </c>
      <c r="AP22" s="150">
        <f>'CZ02 Factors'!T22</f>
        <v>0.79</v>
      </c>
      <c r="AQ22" s="150">
        <f>'CZ02 Factors'!U22</f>
        <v>0.81499999999999995</v>
      </c>
      <c r="AR22" s="150">
        <f>'CZ02 Factors'!V22</f>
        <v>0.84</v>
      </c>
      <c r="AS22" s="153">
        <f>'CZ02 Factors'!W22</f>
        <v>0.97500000000000009</v>
      </c>
      <c r="AT22" s="24"/>
      <c r="AU22" s="24"/>
      <c r="AV22" s="206" t="s">
        <v>284</v>
      </c>
      <c r="AW22" s="207">
        <v>8</v>
      </c>
      <c r="AX22" s="24"/>
      <c r="AY22" s="24"/>
      <c r="AZ22" s="24"/>
      <c r="BA22" s="24"/>
      <c r="BB22" s="24"/>
      <c r="BC22" s="24"/>
      <c r="BD22" s="24"/>
      <c r="BE22" s="24"/>
      <c r="BF22" s="24"/>
      <c r="BG22" s="24"/>
      <c r="BH22" s="24"/>
      <c r="BI22" s="24"/>
      <c r="BJ22" s="24"/>
      <c r="BK22" s="24"/>
      <c r="BU22" s="24"/>
      <c r="BV22" s="24"/>
      <c r="BW22" s="24"/>
      <c r="BX22" s="24"/>
      <c r="BY22" s="24"/>
      <c r="BZ22" s="24"/>
      <c r="CA22" s="24"/>
      <c r="CB22" s="24"/>
      <c r="CC22" s="24"/>
      <c r="CD22" s="24"/>
      <c r="CE22" s="24"/>
      <c r="CF22" s="24"/>
      <c r="CG22" s="24"/>
      <c r="CH22" s="24"/>
      <c r="CI22" s="24"/>
      <c r="CJ22" s="24"/>
      <c r="CK22" s="24"/>
      <c r="CL22" s="24"/>
      <c r="CM22" s="24"/>
      <c r="CN22" s="24"/>
      <c r="CO22" s="24"/>
    </row>
    <row r="23" spans="1:93" ht="16.5" customHeight="1" x14ac:dyDescent="0.25">
      <c r="A23" s="24"/>
      <c r="B23" s="41" t="s">
        <v>460</v>
      </c>
      <c r="C23" s="198" t="e">
        <f>IF(Calculator!$CT$101&lt;=0.05,0.05,Calculator!$CT$101)</f>
        <v>#DIV/0!</v>
      </c>
      <c r="D23" s="136"/>
      <c r="E23" s="137"/>
      <c r="F23" s="137"/>
      <c r="G23" s="137"/>
      <c r="H23" s="137"/>
      <c r="I23" s="137"/>
      <c r="J23" s="137"/>
      <c r="K23" s="137"/>
      <c r="L23" s="138"/>
      <c r="M23" s="24"/>
      <c r="N23" s="24">
        <v>2</v>
      </c>
      <c r="O23" s="149" t="s">
        <v>323</v>
      </c>
      <c r="P23" s="223">
        <f>'CZ01 Factors'!N6</f>
        <v>1.2</v>
      </c>
      <c r="Q23" s="194">
        <f>'CZ02 Factors'!N6</f>
        <v>1.2</v>
      </c>
      <c r="R23" s="194">
        <f>'CZ03 Factors'!N6</f>
        <v>1.7</v>
      </c>
      <c r="S23" s="194">
        <f>'CZ04 Factors'!N6</f>
        <v>1.1000000000000001</v>
      </c>
      <c r="T23" s="194">
        <f>'CZ05 Factors'!N6</f>
        <v>1.2</v>
      </c>
      <c r="U23" s="194">
        <f>'CZ05 BC Factors'!N6</f>
        <v>1.4</v>
      </c>
      <c r="V23" s="194">
        <f>'CZ06 Factors'!N6</f>
        <v>1.4</v>
      </c>
      <c r="W23" s="194">
        <f>'CZ07 Factors'!N6</f>
        <v>1.4</v>
      </c>
      <c r="X23" s="218">
        <f>'CZ08 Factors'!N6</f>
        <v>1.1000000000000001</v>
      </c>
      <c r="Y23" s="151" t="s">
        <v>323</v>
      </c>
      <c r="Z23" s="223">
        <f>'CZ01 Factors'!N25</f>
        <v>1.35</v>
      </c>
      <c r="AA23" s="194">
        <f>'CZ02 Factors'!N43</f>
        <v>1.1000000000000001</v>
      </c>
      <c r="AB23" s="194">
        <f>'CZ03 Factors'!N43</f>
        <v>1.9</v>
      </c>
      <c r="AC23" s="194">
        <f>'CZ04 Factors'!N43</f>
        <v>1.2</v>
      </c>
      <c r="AD23" s="194">
        <f>'CZ05 Factors'!N43</f>
        <v>1.45</v>
      </c>
      <c r="AE23" s="194">
        <f>'CZ05 BC Factors'!N43</f>
        <v>1.3</v>
      </c>
      <c r="AF23" s="194">
        <f>'CZ06 Factors'!N41</f>
        <v>1.6</v>
      </c>
      <c r="AG23" s="194">
        <f>'CZ07 Factors'!N43</f>
        <v>1.3</v>
      </c>
      <c r="AH23" s="218">
        <f>'CZ08 Factors'!N43</f>
        <v>1.6</v>
      </c>
      <c r="AK23" s="145">
        <v>3</v>
      </c>
      <c r="AL23" s="146">
        <f>'CZ03 Factors'!P22</f>
        <v>1.25</v>
      </c>
      <c r="AM23" s="146">
        <f>'CZ03 Factors'!Q22</f>
        <v>1.08</v>
      </c>
      <c r="AN23" s="146">
        <f>'CZ03 Factors'!R22</f>
        <v>0.91</v>
      </c>
      <c r="AO23" s="146">
        <f>'CZ03 Factors'!S22</f>
        <v>0.85499999999999998</v>
      </c>
      <c r="AP23" s="146">
        <f>'CZ03 Factors'!T22</f>
        <v>0.8</v>
      </c>
      <c r="AQ23" s="146">
        <f>'CZ03 Factors'!U22</f>
        <v>1</v>
      </c>
      <c r="AR23" s="146">
        <f>'CZ03 Factors'!V22</f>
        <v>1.2</v>
      </c>
      <c r="AS23" s="154">
        <f>'CZ03 Factors'!W22</f>
        <v>1.2250000000000001</v>
      </c>
      <c r="AT23" s="24"/>
      <c r="AU23" s="24"/>
      <c r="AV23" s="206" t="s">
        <v>281</v>
      </c>
      <c r="AW23" s="207">
        <v>5</v>
      </c>
      <c r="AX23" s="24"/>
      <c r="AY23" s="24"/>
      <c r="AZ23" s="24"/>
      <c r="BA23" s="24"/>
      <c r="BB23" s="24"/>
      <c r="BC23" s="24"/>
      <c r="BD23" s="24"/>
      <c r="BE23" s="24"/>
      <c r="BF23" s="24"/>
      <c r="BG23" s="24"/>
      <c r="BH23" s="24"/>
      <c r="BI23" s="24"/>
      <c r="BJ23" s="24"/>
      <c r="BK23" s="24"/>
      <c r="BU23" s="24"/>
      <c r="BV23" s="24"/>
      <c r="BW23" s="24"/>
      <c r="BX23" s="24"/>
      <c r="BY23" s="24"/>
      <c r="BZ23" s="24"/>
      <c r="CA23" s="24"/>
      <c r="CB23" s="24"/>
      <c r="CC23" s="24"/>
      <c r="CD23" s="24"/>
      <c r="CE23" s="24"/>
      <c r="CF23" s="24"/>
      <c r="CG23" s="24"/>
      <c r="CH23" s="24"/>
      <c r="CI23" s="24"/>
      <c r="CJ23" s="24"/>
      <c r="CK23" s="24"/>
      <c r="CL23" s="24"/>
      <c r="CM23" s="24"/>
      <c r="CN23" s="24"/>
      <c r="CO23" s="24"/>
    </row>
    <row r="24" spans="1:93" ht="16.5" customHeight="1" x14ac:dyDescent="0.25">
      <c r="A24" s="24"/>
      <c r="B24" t="e">
        <f ca="1">OFFSET(B$18,$C24,0)</f>
        <v>#DIV/0!</v>
      </c>
      <c r="C24" t="e">
        <f>MATCH(C23,B19:B22,1)</f>
        <v>#DIV/0!</v>
      </c>
      <c r="D24" s="256" t="e">
        <f ca="1">OFFSET(D$18,$C24,0)</f>
        <v>#DIV/0!</v>
      </c>
      <c r="E24" s="256" t="e">
        <f t="shared" ref="E24:L25" ca="1" si="1">OFFSET(E$18,$C24,0)</f>
        <v>#DIV/0!</v>
      </c>
      <c r="F24" s="256" t="e">
        <f t="shared" ca="1" si="1"/>
        <v>#DIV/0!</v>
      </c>
      <c r="G24" s="256" t="e">
        <f t="shared" ca="1" si="1"/>
        <v>#DIV/0!</v>
      </c>
      <c r="H24" s="256" t="e">
        <f t="shared" ca="1" si="1"/>
        <v>#DIV/0!</v>
      </c>
      <c r="I24" s="256" t="e">
        <f t="shared" ca="1" si="1"/>
        <v>#DIV/0!</v>
      </c>
      <c r="J24" s="256" t="e">
        <f t="shared" ca="1" si="1"/>
        <v>#DIV/0!</v>
      </c>
      <c r="K24" s="256" t="e">
        <f t="shared" ca="1" si="1"/>
        <v>#DIV/0!</v>
      </c>
      <c r="L24" s="256" t="e">
        <f t="shared" ca="1" si="1"/>
        <v>#DIV/0!</v>
      </c>
      <c r="M24" s="24"/>
      <c r="N24" s="24">
        <v>3</v>
      </c>
      <c r="O24" s="145" t="s">
        <v>319</v>
      </c>
      <c r="P24" s="222">
        <f>'CZ01 Factors'!N7</f>
        <v>1.1499999999999999</v>
      </c>
      <c r="Q24" s="193">
        <f>'CZ02 Factors'!N7</f>
        <v>1.1894491104011204</v>
      </c>
      <c r="R24" s="193">
        <f>'CZ03 Factors'!N7</f>
        <v>1.2119804587626077</v>
      </c>
      <c r="S24" s="193">
        <f>'CZ04 Factors'!N7</f>
        <v>1.1877012868494365</v>
      </c>
      <c r="T24" s="193">
        <f>'CZ05 Factors'!N7</f>
        <v>1.2028456629955802</v>
      </c>
      <c r="U24" s="193">
        <f>'CZ05 BC Factors'!N7</f>
        <v>1.1776129100485737</v>
      </c>
      <c r="V24" s="193">
        <f>'CZ06 Factors'!N7</f>
        <v>1</v>
      </c>
      <c r="W24" s="193">
        <f>'CZ07 Factors'!N7</f>
        <v>1.1471114632390602</v>
      </c>
      <c r="X24" s="216">
        <f>'CZ08 Factors'!N7</f>
        <v>1</v>
      </c>
      <c r="Y24" s="147" t="s">
        <v>319</v>
      </c>
      <c r="Z24" s="222">
        <f>'CZ01 Factors'!N26</f>
        <v>1.19</v>
      </c>
      <c r="AA24" s="193">
        <f>'CZ02 Factors'!N44</f>
        <v>1</v>
      </c>
      <c r="AB24" s="193">
        <f>'CZ03 Factors'!N44</f>
        <v>1.2119804587626077</v>
      </c>
      <c r="AC24" s="193">
        <f>'CZ04 Factors'!N44</f>
        <v>1</v>
      </c>
      <c r="AD24" s="193">
        <f>'CZ05 Factors'!N44</f>
        <v>1</v>
      </c>
      <c r="AE24" s="193">
        <f>'CZ05 BC Factors'!N44</f>
        <v>1</v>
      </c>
      <c r="AF24" s="193">
        <f>'CZ06 Factors'!N42</f>
        <v>1</v>
      </c>
      <c r="AG24" s="193">
        <f>'CZ07 Factors'!N44</f>
        <v>1</v>
      </c>
      <c r="AH24" s="216">
        <f>'CZ08 Factors'!N44</f>
        <v>0.98</v>
      </c>
      <c r="AK24" s="149">
        <v>4</v>
      </c>
      <c r="AL24" s="150">
        <f>'CZ04 Factors'!P22</f>
        <v>1.1499999999999999</v>
      </c>
      <c r="AM24" s="150">
        <f>'CZ04 Factors'!Q22</f>
        <v>0.92499999999999993</v>
      </c>
      <c r="AN24" s="150">
        <f>'CZ04 Factors'!R22</f>
        <v>0.7</v>
      </c>
      <c r="AO24" s="150">
        <f>'CZ04 Factors'!S22</f>
        <v>0.75</v>
      </c>
      <c r="AP24" s="150">
        <f>'CZ04 Factors'!T22</f>
        <v>0.8</v>
      </c>
      <c r="AQ24" s="150">
        <f>'CZ04 Factors'!U22</f>
        <v>0.8</v>
      </c>
      <c r="AR24" s="150">
        <f>'CZ04 Factors'!V22</f>
        <v>0.8</v>
      </c>
      <c r="AS24" s="153">
        <f>'CZ04 Factors'!W22</f>
        <v>0.97499999999999998</v>
      </c>
      <c r="AT24" s="24"/>
      <c r="AU24" s="24"/>
      <c r="AV24" s="206" t="s">
        <v>280</v>
      </c>
      <c r="AW24" s="207">
        <v>4</v>
      </c>
      <c r="AX24" s="24"/>
      <c r="AY24" s="24"/>
      <c r="AZ24" s="24"/>
      <c r="BA24" s="24"/>
      <c r="BB24" s="24"/>
      <c r="BC24" s="24"/>
      <c r="BD24" s="24"/>
      <c r="BE24" s="24"/>
      <c r="BF24" s="24"/>
      <c r="BG24" s="24"/>
      <c r="BH24" s="24"/>
      <c r="BI24" s="24"/>
      <c r="BJ24" s="24"/>
      <c r="BK24" s="24"/>
      <c r="BU24" s="24"/>
      <c r="BV24" s="24"/>
      <c r="BW24" s="24"/>
      <c r="BX24" s="24"/>
      <c r="BY24" s="24"/>
      <c r="BZ24" s="24"/>
      <c r="CA24" s="24"/>
      <c r="CB24" s="24"/>
      <c r="CC24" s="24"/>
      <c r="CD24" s="24"/>
      <c r="CE24" s="24"/>
      <c r="CF24" s="24"/>
      <c r="CG24" s="24"/>
      <c r="CH24" s="24"/>
      <c r="CI24" s="24"/>
      <c r="CJ24" s="24"/>
      <c r="CK24" s="24"/>
      <c r="CL24" s="24"/>
      <c r="CM24" s="24"/>
      <c r="CN24" s="24"/>
      <c r="CO24" s="24"/>
    </row>
    <row r="25" spans="1:93" ht="16.5" customHeight="1" thickBot="1" x14ac:dyDescent="0.3">
      <c r="A25" s="24"/>
      <c r="B25" t="e">
        <f ca="1">OFFSET(B$18,$C25,0)</f>
        <v>#DIV/0!</v>
      </c>
      <c r="C25" t="e">
        <f>IF(C24+1&gt;4,4,C24+1)</f>
        <v>#DIV/0!</v>
      </c>
      <c r="D25" s="256" t="e">
        <f ca="1">OFFSET(D$18,$C25,0)</f>
        <v>#DIV/0!</v>
      </c>
      <c r="E25" s="256" t="e">
        <f t="shared" ca="1" si="1"/>
        <v>#DIV/0!</v>
      </c>
      <c r="F25" s="256" t="e">
        <f t="shared" ca="1" si="1"/>
        <v>#DIV/0!</v>
      </c>
      <c r="G25" s="256" t="e">
        <f t="shared" ca="1" si="1"/>
        <v>#DIV/0!</v>
      </c>
      <c r="H25" s="256" t="e">
        <f t="shared" ca="1" si="1"/>
        <v>#DIV/0!</v>
      </c>
      <c r="I25" s="256" t="e">
        <f t="shared" ca="1" si="1"/>
        <v>#DIV/0!</v>
      </c>
      <c r="J25" s="256" t="e">
        <f t="shared" ca="1" si="1"/>
        <v>#DIV/0!</v>
      </c>
      <c r="K25" s="256" t="e">
        <f t="shared" ca="1" si="1"/>
        <v>#DIV/0!</v>
      </c>
      <c r="L25" s="256" t="e">
        <f t="shared" ca="1" si="1"/>
        <v>#DIV/0!</v>
      </c>
      <c r="M25" s="24"/>
      <c r="N25" s="195">
        <v>4</v>
      </c>
      <c r="O25" s="149" t="s">
        <v>320</v>
      </c>
      <c r="P25" s="223">
        <f>'CZ01 Factors'!N8</f>
        <v>1</v>
      </c>
      <c r="Q25" s="194">
        <f>'CZ02 Factors'!N8</f>
        <v>1</v>
      </c>
      <c r="R25" s="194">
        <f>'CZ03 Factors'!N8</f>
        <v>1</v>
      </c>
      <c r="S25" s="194">
        <f>'CZ04 Factors'!N8</f>
        <v>1</v>
      </c>
      <c r="T25" s="194">
        <f>'CZ05 Factors'!N8</f>
        <v>1</v>
      </c>
      <c r="U25" s="194">
        <f>'CZ05 BC Factors'!N8</f>
        <v>1</v>
      </c>
      <c r="V25" s="194">
        <f>'CZ06 Factors'!N8</f>
        <v>0.89933232292464516</v>
      </c>
      <c r="W25" s="194">
        <f>'CZ07 Factors'!N8</f>
        <v>1</v>
      </c>
      <c r="X25" s="218">
        <f>'CZ08 Factors'!N8</f>
        <v>0.98</v>
      </c>
      <c r="Y25" s="151" t="s">
        <v>320</v>
      </c>
      <c r="Z25" s="223">
        <f>'CZ01 Factors'!N27</f>
        <v>1</v>
      </c>
      <c r="AA25" s="194">
        <f>'CZ02 Factors'!N45</f>
        <v>0.9</v>
      </c>
      <c r="AB25" s="194">
        <f>'CZ03 Factors'!N45</f>
        <v>1</v>
      </c>
      <c r="AC25" s="194">
        <f>'CZ04 Factors'!N45</f>
        <v>0.8844579281689926</v>
      </c>
      <c r="AD25" s="194">
        <f>'CZ05 Factors'!N45</f>
        <v>0.78</v>
      </c>
      <c r="AE25" s="194">
        <f>'CZ05 BC Factors'!N45</f>
        <v>0.95</v>
      </c>
      <c r="AF25" s="194">
        <f>'CZ06 Factors'!N43</f>
        <v>0.96</v>
      </c>
      <c r="AG25" s="194">
        <f>'CZ07 Factors'!N45</f>
        <v>1</v>
      </c>
      <c r="AH25" s="218">
        <f>'CZ08 Factors'!N45</f>
        <v>0.92</v>
      </c>
      <c r="AK25" s="145">
        <v>5</v>
      </c>
      <c r="AL25" s="146">
        <f>'CZ05 Factors'!P22</f>
        <v>1.2</v>
      </c>
      <c r="AM25" s="146">
        <f>'CZ05 Factors'!Q22</f>
        <v>1</v>
      </c>
      <c r="AN25" s="146">
        <f>'CZ05 Factors'!R22</f>
        <v>0.8</v>
      </c>
      <c r="AO25" s="146">
        <f>'CZ05 Factors'!S22</f>
        <v>0.75</v>
      </c>
      <c r="AP25" s="146">
        <f>'CZ05 Factors'!T22</f>
        <v>0.7</v>
      </c>
      <c r="AQ25" s="146">
        <f>'CZ05 Factors'!U22</f>
        <v>0.75</v>
      </c>
      <c r="AR25" s="146">
        <f>'CZ05 Factors'!V22</f>
        <v>0.8</v>
      </c>
      <c r="AS25" s="154">
        <f>'CZ05 Factors'!W22</f>
        <v>1</v>
      </c>
      <c r="AT25" s="24"/>
      <c r="AU25" s="24"/>
      <c r="AV25" s="206" t="s">
        <v>282</v>
      </c>
      <c r="AW25" s="207">
        <v>6</v>
      </c>
      <c r="AX25" s="24"/>
      <c r="AY25" s="24"/>
      <c r="AZ25" s="24"/>
      <c r="BA25" s="24"/>
      <c r="BB25" s="24"/>
      <c r="BC25" s="24"/>
      <c r="BD25" s="24"/>
      <c r="BE25" s="24"/>
      <c r="BF25" s="24"/>
      <c r="BG25" s="24"/>
      <c r="BH25" s="24"/>
      <c r="BI25" s="24"/>
      <c r="BJ25" s="24"/>
      <c r="BK25" s="24"/>
      <c r="BU25" s="24"/>
      <c r="BV25" s="24"/>
      <c r="BW25" s="24"/>
      <c r="BX25" s="24"/>
      <c r="BY25" s="24"/>
      <c r="BZ25" s="24"/>
      <c r="CA25" s="24"/>
      <c r="CB25" s="24"/>
      <c r="CC25" s="24"/>
      <c r="CD25" s="24"/>
      <c r="CE25" s="24"/>
      <c r="CF25" s="24"/>
      <c r="CG25" s="24"/>
      <c r="CH25" s="24"/>
      <c r="CI25" s="24"/>
      <c r="CJ25" s="24"/>
      <c r="CK25" s="24"/>
      <c r="CL25" s="24"/>
      <c r="CM25" s="24"/>
      <c r="CN25" s="24"/>
      <c r="CO25" s="24"/>
    </row>
    <row r="26" spans="1:93" ht="16.5" customHeight="1" thickBot="1" x14ac:dyDescent="0.3">
      <c r="A26" s="24"/>
      <c r="B26" s="134"/>
      <c r="C26" s="190" t="s">
        <v>236</v>
      </c>
      <c r="D26" s="256" t="e">
        <f ca="1">IF($C23&gt;=$B25,D25,(D24+($C23-$B24)/($B25-$B24)*(D25-D24)))</f>
        <v>#DIV/0!</v>
      </c>
      <c r="E26" s="256" t="e">
        <f t="shared" ref="E26:L26" ca="1" si="2">IF($C23&gt;=$B25,E25,(E24+($C23-$B24)/($B25-$B24)*(E25-E24)))</f>
        <v>#DIV/0!</v>
      </c>
      <c r="F26" s="256" t="e">
        <f t="shared" ca="1" si="2"/>
        <v>#DIV/0!</v>
      </c>
      <c r="G26" s="256" t="e">
        <f t="shared" ca="1" si="2"/>
        <v>#DIV/0!</v>
      </c>
      <c r="H26" s="256" t="e">
        <f t="shared" ca="1" si="2"/>
        <v>#DIV/0!</v>
      </c>
      <c r="I26" s="256" t="e">
        <f t="shared" ca="1" si="2"/>
        <v>#DIV/0!</v>
      </c>
      <c r="J26" s="257" t="e">
        <f>IF($C23&gt;=$B22,J25,(J24+($C23-$B24)/($B25-$B24)*(J25-J24)))</f>
        <v>#DIV/0!</v>
      </c>
      <c r="K26" s="256" t="e">
        <f t="shared" ca="1" si="2"/>
        <v>#DIV/0!</v>
      </c>
      <c r="L26" s="256" t="e">
        <f t="shared" ca="1" si="2"/>
        <v>#DIV/0!</v>
      </c>
      <c r="M26" s="24"/>
      <c r="N26" s="195">
        <v>5</v>
      </c>
      <c r="O26" s="145" t="s">
        <v>321</v>
      </c>
      <c r="P26" s="222">
        <f>'CZ01 Factors'!N9</f>
        <v>0.90781913797078717</v>
      </c>
      <c r="Q26" s="193">
        <f>'CZ02 Factors'!N9</f>
        <v>0.90781913797078717</v>
      </c>
      <c r="R26" s="193">
        <f>'CZ03 Factors'!N9</f>
        <v>0.8849782375332953</v>
      </c>
      <c r="S26" s="193">
        <f>'CZ04 Factors'!N9</f>
        <v>0.8844579281689926</v>
      </c>
      <c r="T26" s="193">
        <f>'CZ05 Factors'!N9</f>
        <v>0.88219252577636464</v>
      </c>
      <c r="U26" s="193">
        <f>'CZ05 BC Factors'!N9</f>
        <v>0.88627958449847144</v>
      </c>
      <c r="V26" s="193">
        <f>'CZ06 Factors'!N9</f>
        <v>0.83636060816966273</v>
      </c>
      <c r="W26" s="193">
        <f>'CZ07 Factors'!N9</f>
        <v>0.90822848660489386</v>
      </c>
      <c r="X26" s="216">
        <f>'CZ08 Factors'!N9</f>
        <v>0.92</v>
      </c>
      <c r="Y26" s="147" t="s">
        <v>321</v>
      </c>
      <c r="Z26" s="222">
        <f>'CZ01 Factors'!N28</f>
        <v>0.87</v>
      </c>
      <c r="AA26" s="193">
        <f>'CZ02 Factors'!N46</f>
        <v>0.68</v>
      </c>
      <c r="AB26" s="193">
        <f>'CZ03 Factors'!N46</f>
        <v>0.8849782375332953</v>
      </c>
      <c r="AC26" s="193">
        <f>'CZ04 Factors'!N46</f>
        <v>0.91</v>
      </c>
      <c r="AD26" s="193">
        <f>'CZ05 Factors'!N46</f>
        <v>0.73</v>
      </c>
      <c r="AE26" s="193">
        <f>'CZ05 BC Factors'!N46</f>
        <v>0.9</v>
      </c>
      <c r="AF26" s="193">
        <f>'CZ06 Factors'!N44</f>
        <v>0.83</v>
      </c>
      <c r="AG26" s="193">
        <f>'CZ07 Factors'!N46</f>
        <v>0.85</v>
      </c>
      <c r="AH26" s="216">
        <f>'CZ08 Factors'!N46</f>
        <v>0.89</v>
      </c>
      <c r="AK26" s="158" t="s">
        <v>394</v>
      </c>
      <c r="AL26" s="150">
        <f>'CZ05 BC Factors'!P22</f>
        <v>1</v>
      </c>
      <c r="AM26" s="150">
        <f>'CZ05 BC Factors'!Q22</f>
        <v>0.9</v>
      </c>
      <c r="AN26" s="150">
        <f>'CZ05 BC Factors'!R22</f>
        <v>0.8</v>
      </c>
      <c r="AO26" s="150">
        <f>'CZ05 BC Factors'!S22</f>
        <v>0.85000000000000009</v>
      </c>
      <c r="AP26" s="150">
        <f>'CZ05 BC Factors'!T22</f>
        <v>0.9</v>
      </c>
      <c r="AQ26" s="150">
        <f>'CZ05 BC Factors'!U22</f>
        <v>0.9</v>
      </c>
      <c r="AR26" s="150">
        <f>'CZ05 BC Factors'!V22</f>
        <v>0.9</v>
      </c>
      <c r="AS26" s="153">
        <f>'CZ05 BC Factors'!W22</f>
        <v>0.95</v>
      </c>
      <c r="AT26" s="24"/>
      <c r="AU26" s="24"/>
      <c r="AV26" s="208" t="s">
        <v>283</v>
      </c>
      <c r="AW26" s="209">
        <v>7</v>
      </c>
      <c r="AX26" s="24"/>
      <c r="AY26" s="24"/>
      <c r="AZ26" s="24"/>
      <c r="BA26" s="24"/>
      <c r="BB26" s="24"/>
      <c r="BC26" s="24"/>
      <c r="BD26" s="24"/>
      <c r="BE26" s="24"/>
      <c r="BF26" s="24"/>
      <c r="BG26" s="24"/>
      <c r="BH26" s="24"/>
      <c r="BI26" s="24"/>
      <c r="BJ26" s="24"/>
      <c r="BK26" s="24"/>
      <c r="BU26" s="24"/>
      <c r="BV26" s="24"/>
      <c r="BW26" s="24"/>
      <c r="BX26" s="24"/>
      <c r="BY26" s="24"/>
      <c r="BZ26" s="24"/>
      <c r="CA26" s="24"/>
      <c r="CB26" s="24"/>
      <c r="CC26" s="24"/>
      <c r="CD26" s="24"/>
      <c r="CE26" s="24"/>
      <c r="CF26" s="24"/>
      <c r="CG26" s="24"/>
      <c r="CH26" s="24"/>
      <c r="CI26" s="24"/>
      <c r="CJ26" s="24"/>
      <c r="CK26" s="24"/>
      <c r="CL26" s="24"/>
      <c r="CM26" s="24"/>
      <c r="CN26" s="24"/>
      <c r="CO26" s="24"/>
    </row>
    <row r="27" spans="1:93" ht="16.5" customHeight="1" thickBot="1" x14ac:dyDescent="0.3">
      <c r="A27" s="24"/>
      <c r="B27" s="134"/>
      <c r="M27" s="24"/>
      <c r="N27" s="195">
        <v>6</v>
      </c>
      <c r="O27" s="149" t="s">
        <v>322</v>
      </c>
      <c r="P27" s="224">
        <f>'CZ01 Factors'!N10</f>
        <v>0.75</v>
      </c>
      <c r="Q27" s="220">
        <f>'CZ02 Factors'!N10</f>
        <v>0.75</v>
      </c>
      <c r="R27" s="220">
        <f>'CZ03 Factors'!N10</f>
        <v>0.89</v>
      </c>
      <c r="S27" s="220">
        <f>'CZ04 Factors'!N10</f>
        <v>0.91</v>
      </c>
      <c r="T27" s="220">
        <f>'CZ05 Factors'!N10</f>
        <v>0.65</v>
      </c>
      <c r="U27" s="220">
        <f>'CZ05 BC Factors'!N10</f>
        <v>0.6</v>
      </c>
      <c r="V27" s="220">
        <f>'CZ06 Factors'!N10</f>
        <v>0.8</v>
      </c>
      <c r="W27" s="220">
        <f>'CZ07 Factors'!N10</f>
        <v>0.85</v>
      </c>
      <c r="X27" s="221">
        <f>'CZ08 Factors'!N10</f>
        <v>0.89</v>
      </c>
      <c r="Y27" s="151" t="s">
        <v>322</v>
      </c>
      <c r="Z27" s="224">
        <v>1</v>
      </c>
      <c r="AA27" s="220">
        <v>1</v>
      </c>
      <c r="AB27" s="220">
        <v>1</v>
      </c>
      <c r="AC27" s="220">
        <v>1</v>
      </c>
      <c r="AD27" s="220">
        <v>1</v>
      </c>
      <c r="AE27" s="220">
        <v>1</v>
      </c>
      <c r="AF27" s="220">
        <v>1</v>
      </c>
      <c r="AG27" s="220">
        <v>1</v>
      </c>
      <c r="AH27" s="221">
        <v>1</v>
      </c>
      <c r="AK27" s="143">
        <v>6</v>
      </c>
      <c r="AL27" s="144">
        <f>'CZ06 Factors'!P22</f>
        <v>1.05</v>
      </c>
      <c r="AM27" s="144">
        <f>'CZ06 Factors'!Q22</f>
        <v>0.97500000000000009</v>
      </c>
      <c r="AN27" s="144">
        <f>'CZ06 Factors'!R22</f>
        <v>0.9</v>
      </c>
      <c r="AO27" s="144">
        <f>'CZ06 Factors'!S22</f>
        <v>0.85000000000000009</v>
      </c>
      <c r="AP27" s="144">
        <f>'CZ06 Factors'!T22</f>
        <v>0.8</v>
      </c>
      <c r="AQ27" s="144">
        <f>'CZ06 Factors'!U22</f>
        <v>0.85000000000000009</v>
      </c>
      <c r="AR27" s="144">
        <f>'CZ06 Factors'!V22</f>
        <v>0.9</v>
      </c>
      <c r="AS27" s="189">
        <f>'CZ06 Factors'!W22</f>
        <v>0.97500000000000009</v>
      </c>
      <c r="AT27" s="24"/>
      <c r="AU27" s="24"/>
      <c r="AV27" s="24"/>
      <c r="AW27" s="24"/>
      <c r="AX27" s="24"/>
      <c r="AY27" s="24"/>
      <c r="AZ27" s="24"/>
      <c r="BA27" s="24"/>
      <c r="BB27" s="24"/>
      <c r="BC27" s="24"/>
      <c r="BD27" s="24"/>
      <c r="BE27" s="24"/>
      <c r="BF27" s="24"/>
      <c r="BG27" s="24"/>
      <c r="BH27" s="24"/>
      <c r="BI27" s="24"/>
      <c r="BJ27" s="24"/>
      <c r="BK27" s="24"/>
      <c r="BU27" s="24"/>
      <c r="BV27" s="24"/>
      <c r="BW27" s="24"/>
      <c r="BX27" s="24"/>
      <c r="BY27" s="24"/>
      <c r="BZ27" s="24"/>
      <c r="CA27" s="24"/>
      <c r="CB27" s="24"/>
      <c r="CC27" s="24"/>
      <c r="CD27" s="24"/>
      <c r="CE27" s="24"/>
      <c r="CF27" s="24"/>
      <c r="CG27" s="24"/>
      <c r="CH27" s="24"/>
      <c r="CI27" s="24"/>
      <c r="CJ27" s="24"/>
      <c r="CK27" s="24"/>
      <c r="CL27" s="24"/>
      <c r="CM27" s="24"/>
      <c r="CN27" s="24"/>
      <c r="CO27" s="24"/>
    </row>
    <row r="28" spans="1:93" ht="16.5" customHeight="1" x14ac:dyDescent="0.25">
      <c r="A28" s="24"/>
      <c r="B28" s="134"/>
      <c r="C28" s="135"/>
      <c r="D28" s="136"/>
      <c r="E28" s="137"/>
      <c r="F28" s="137"/>
      <c r="G28" s="137"/>
      <c r="H28" s="137"/>
      <c r="I28" s="137"/>
      <c r="J28" s="137"/>
      <c r="K28" s="137"/>
      <c r="L28" s="138"/>
      <c r="M28" s="24"/>
      <c r="N28" s="195"/>
      <c r="AK28" s="149">
        <v>7</v>
      </c>
      <c r="AL28" s="150">
        <f>'CZ07 Factors'!P22</f>
        <v>1.3</v>
      </c>
      <c r="AM28" s="150">
        <f>'CZ07 Factors'!Q22</f>
        <v>1.05</v>
      </c>
      <c r="AN28" s="150">
        <f>'CZ07 Factors'!R22</f>
        <v>0.8</v>
      </c>
      <c r="AO28" s="150">
        <f>'CZ07 Factors'!S22</f>
        <v>0.8</v>
      </c>
      <c r="AP28" s="150">
        <f>'CZ07 Factors'!T22</f>
        <v>0.8</v>
      </c>
      <c r="AQ28" s="150">
        <f>'CZ07 Factors'!U22</f>
        <v>0.8</v>
      </c>
      <c r="AR28" s="150">
        <f>'CZ07 Factors'!V22</f>
        <v>0.8</v>
      </c>
      <c r="AS28" s="153">
        <f>'CZ07 Factors'!W22</f>
        <v>1.05</v>
      </c>
      <c r="AT28" s="24"/>
      <c r="AU28" s="24"/>
      <c r="AV28" s="24"/>
      <c r="AW28" s="24"/>
      <c r="AX28" s="24"/>
      <c r="AY28" s="24"/>
      <c r="AZ28" s="24"/>
      <c r="BA28" s="24"/>
      <c r="BB28" s="24"/>
      <c r="BC28" s="24"/>
      <c r="BD28" s="24"/>
      <c r="BE28" s="24"/>
      <c r="BF28" s="24"/>
      <c r="BG28" s="24"/>
      <c r="BH28" s="24"/>
      <c r="BI28" s="24"/>
      <c r="BJ28" s="24"/>
      <c r="BK28" s="24"/>
      <c r="BU28" s="24"/>
      <c r="BV28" s="24"/>
      <c r="BW28" s="24"/>
      <c r="BX28" s="24"/>
      <c r="BY28" s="24"/>
      <c r="BZ28" s="24"/>
      <c r="CA28" s="24"/>
      <c r="CB28" s="24"/>
      <c r="CC28" s="24"/>
      <c r="CD28" s="24"/>
      <c r="CE28" s="24"/>
      <c r="CF28" s="24"/>
      <c r="CG28" s="24"/>
      <c r="CH28" s="24"/>
      <c r="CI28" s="24"/>
      <c r="CJ28" s="24"/>
      <c r="CK28" s="24"/>
      <c r="CL28" s="24"/>
      <c r="CM28" s="24"/>
      <c r="CN28" s="24"/>
      <c r="CO28" s="24"/>
    </row>
    <row r="29" spans="1:93" ht="16.5" customHeight="1" x14ac:dyDescent="0.4">
      <c r="A29" s="24"/>
      <c r="B29" s="161" t="s">
        <v>80</v>
      </c>
      <c r="C29" s="162" t="s">
        <v>378</v>
      </c>
      <c r="D29" s="163">
        <v>1.65</v>
      </c>
      <c r="E29" s="164">
        <v>18.387</v>
      </c>
      <c r="F29" s="164">
        <v>14.641</v>
      </c>
      <c r="G29" s="164">
        <v>7.9290000000000003</v>
      </c>
      <c r="H29" s="164">
        <v>13.464</v>
      </c>
      <c r="I29" s="164"/>
      <c r="J29" s="164">
        <v>6.4180000000000001</v>
      </c>
      <c r="K29" s="164">
        <v>5.4859999999999998</v>
      </c>
      <c r="L29" s="165">
        <v>3.9870000000000001</v>
      </c>
      <c r="M29" s="24"/>
      <c r="N29" s="24"/>
      <c r="O29" s="24"/>
      <c r="Q29" s="24"/>
      <c r="R29" s="24"/>
      <c r="S29" s="24"/>
      <c r="T29" s="24"/>
      <c r="U29" s="24"/>
      <c r="V29" s="24"/>
      <c r="W29" s="24"/>
      <c r="X29" s="24"/>
      <c r="AK29" s="145">
        <v>8</v>
      </c>
      <c r="AL29" s="146">
        <f>'CZ08 Factors'!P22</f>
        <v>1.3</v>
      </c>
      <c r="AM29" s="146">
        <f>'CZ08 Factors'!Q22</f>
        <v>1.1000000000000001</v>
      </c>
      <c r="AN29" s="146">
        <f>'CZ08 Factors'!R22</f>
        <v>0.9</v>
      </c>
      <c r="AO29" s="146">
        <f>'CZ08 Factors'!S22</f>
        <v>0.875</v>
      </c>
      <c r="AP29" s="146">
        <f>'CZ08 Factors'!T22</f>
        <v>0.85</v>
      </c>
      <c r="AQ29" s="146">
        <f>'CZ08 Factors'!U22</f>
        <v>0.875</v>
      </c>
      <c r="AR29" s="146">
        <f>'CZ08 Factors'!V22</f>
        <v>0.9</v>
      </c>
      <c r="AS29" s="154">
        <f>'CZ08 Factors'!W22</f>
        <v>1.1000000000000001</v>
      </c>
      <c r="AT29" s="24"/>
      <c r="AU29" s="24"/>
      <c r="AV29" s="24"/>
      <c r="AW29" s="24"/>
      <c r="AX29" s="24"/>
      <c r="AY29" s="24"/>
      <c r="AZ29" s="24"/>
      <c r="BA29" s="24"/>
      <c r="BB29" s="24"/>
      <c r="BC29" s="24"/>
      <c r="BD29" s="24"/>
      <c r="BE29" s="24"/>
      <c r="BF29" s="24"/>
      <c r="BG29" s="24"/>
      <c r="BH29" s="24"/>
      <c r="BI29" s="24"/>
      <c r="BJ29" s="24"/>
      <c r="BK29" s="24"/>
      <c r="BU29" s="24"/>
      <c r="BV29" s="24"/>
      <c r="BW29" s="24"/>
      <c r="BX29" s="24"/>
      <c r="BY29" s="24"/>
      <c r="BZ29" s="24"/>
      <c r="CA29" s="24"/>
      <c r="CB29" s="24"/>
      <c r="CC29" s="24"/>
      <c r="CD29" s="24"/>
      <c r="CE29" s="24"/>
      <c r="CF29" s="24"/>
      <c r="CG29" s="24"/>
      <c r="CH29" s="24"/>
      <c r="CI29" s="24"/>
      <c r="CJ29" s="24"/>
      <c r="CK29" s="24"/>
      <c r="CL29" s="24"/>
      <c r="CM29" s="24"/>
      <c r="CN29" s="24"/>
      <c r="CO29" s="24"/>
    </row>
    <row r="30" spans="1:93" ht="16.5" customHeight="1" thickBot="1" x14ac:dyDescent="0.45">
      <c r="A30" s="24"/>
      <c r="B30" s="166"/>
      <c r="C30" s="167" t="s">
        <v>379</v>
      </c>
      <c r="D30" s="168">
        <v>6.9000000000000006E-2</v>
      </c>
      <c r="E30" s="169">
        <v>8.1000000000000003E-2</v>
      </c>
      <c r="F30" s="169">
        <v>6.8000000000000005E-2</v>
      </c>
      <c r="G30" s="169">
        <v>0.107</v>
      </c>
      <c r="H30" s="169">
        <v>0.13400000000000001</v>
      </c>
      <c r="I30" s="169"/>
      <c r="J30" s="169">
        <v>0.16800000000000001</v>
      </c>
      <c r="K30" s="169">
        <v>0.20799999999999999</v>
      </c>
      <c r="L30" s="170">
        <v>0.25700000000000001</v>
      </c>
      <c r="M30" s="24"/>
      <c r="N30" s="24"/>
      <c r="P30" s="24"/>
      <c r="Q30" s="24"/>
      <c r="R30" s="24"/>
      <c r="S30" s="24"/>
      <c r="T30" s="24"/>
      <c r="U30" s="24"/>
      <c r="V30" s="24"/>
      <c r="W30" s="24"/>
      <c r="X30" s="24"/>
      <c r="AT30" s="24"/>
      <c r="AU30" s="24"/>
      <c r="AV30" s="24"/>
      <c r="AW30" s="24"/>
      <c r="AX30" s="24"/>
      <c r="AY30" s="24"/>
      <c r="AZ30" s="24"/>
      <c r="BA30" s="24"/>
      <c r="BB30" s="24"/>
      <c r="BC30" s="24"/>
      <c r="BD30" s="24"/>
      <c r="BE30" s="24"/>
      <c r="BF30" s="24"/>
      <c r="BG30" s="24"/>
      <c r="BH30" s="24"/>
      <c r="BI30" s="24"/>
      <c r="BJ30" s="24"/>
      <c r="BK30" s="24"/>
      <c r="BU30" s="24"/>
      <c r="BV30" s="24"/>
      <c r="BW30" s="24"/>
      <c r="BX30" s="24"/>
      <c r="BY30" s="24"/>
      <c r="BZ30" s="24"/>
      <c r="CA30" s="24"/>
      <c r="CB30" s="24"/>
      <c r="CC30" s="24"/>
      <c r="CD30" s="24"/>
      <c r="CE30" s="24"/>
      <c r="CF30" s="24"/>
      <c r="CG30" s="24"/>
      <c r="CH30" s="24"/>
      <c r="CI30" s="24"/>
      <c r="CJ30" s="24"/>
      <c r="CK30" s="24"/>
      <c r="CL30" s="24"/>
      <c r="CM30" s="24"/>
      <c r="CN30" s="24"/>
      <c r="CO30" s="24"/>
    </row>
    <row r="31" spans="1:93" ht="16.5" customHeight="1" thickBot="1" x14ac:dyDescent="0.3">
      <c r="A31" s="24"/>
      <c r="B31" s="33"/>
      <c r="C31" s="33"/>
      <c r="D31" s="42" t="s">
        <v>271</v>
      </c>
      <c r="E31" s="33"/>
      <c r="F31" s="33"/>
      <c r="G31" s="33"/>
      <c r="H31" s="33"/>
      <c r="I31" s="33"/>
      <c r="J31" s="33"/>
      <c r="K31" s="33"/>
      <c r="L31" s="33"/>
      <c r="M31" s="24"/>
      <c r="N31" s="24"/>
      <c r="O31" s="24"/>
      <c r="P31" s="228" t="s">
        <v>454</v>
      </c>
      <c r="Q31" s="229"/>
      <c r="R31" s="24"/>
      <c r="S31" s="24"/>
      <c r="T31" s="24"/>
      <c r="U31" s="24"/>
      <c r="V31" s="24"/>
      <c r="W31" s="24"/>
      <c r="X31" s="24"/>
      <c r="Y31" s="24"/>
      <c r="Z31" s="228" t="s">
        <v>455</v>
      </c>
      <c r="AA31" s="230"/>
      <c r="AK31" s="159" t="s">
        <v>377</v>
      </c>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U31" s="24"/>
      <c r="BV31" s="24"/>
      <c r="BW31" s="24"/>
      <c r="BX31" s="24"/>
      <c r="BY31" s="24"/>
      <c r="BZ31" s="24"/>
      <c r="CA31" s="24"/>
      <c r="CB31" s="24"/>
      <c r="CC31" s="24"/>
      <c r="CD31" s="24"/>
      <c r="CE31" s="24"/>
      <c r="CF31" s="24"/>
      <c r="CG31" s="24"/>
      <c r="CH31" s="24"/>
      <c r="CI31" s="24"/>
      <c r="CJ31" s="24"/>
      <c r="CK31" s="24"/>
      <c r="CL31" s="24"/>
      <c r="CM31" s="24"/>
      <c r="CN31" s="24"/>
      <c r="CO31" s="24"/>
    </row>
    <row r="32" spans="1:93" ht="16.5" customHeight="1" x14ac:dyDescent="0.3">
      <c r="A32" s="24"/>
      <c r="B32" s="33"/>
      <c r="C32" s="33"/>
      <c r="D32" s="33"/>
      <c r="E32" s="33"/>
      <c r="F32" s="33"/>
      <c r="G32" s="33"/>
      <c r="H32" s="33"/>
      <c r="I32" s="33"/>
      <c r="J32" s="33"/>
      <c r="K32" s="33"/>
      <c r="L32" s="33"/>
      <c r="M32" s="24"/>
      <c r="N32" s="24"/>
      <c r="O32" s="159" t="s">
        <v>359</v>
      </c>
      <c r="P32" s="212">
        <v>1</v>
      </c>
      <c r="Q32" s="213">
        <v>2</v>
      </c>
      <c r="R32" s="213">
        <v>3</v>
      </c>
      <c r="S32" s="213">
        <v>4</v>
      </c>
      <c r="T32" s="213">
        <v>5</v>
      </c>
      <c r="U32" s="213" t="s">
        <v>394</v>
      </c>
      <c r="V32" s="213">
        <v>6</v>
      </c>
      <c r="W32" s="213">
        <v>7</v>
      </c>
      <c r="X32" s="214">
        <v>8</v>
      </c>
      <c r="Y32" s="159" t="s">
        <v>371</v>
      </c>
      <c r="Z32" s="225">
        <v>1</v>
      </c>
      <c r="AA32" s="226">
        <v>2</v>
      </c>
      <c r="AB32" s="226">
        <v>3</v>
      </c>
      <c r="AC32" s="226">
        <v>4</v>
      </c>
      <c r="AD32" s="226">
        <v>5</v>
      </c>
      <c r="AE32" s="226" t="s">
        <v>394</v>
      </c>
      <c r="AF32" s="226">
        <v>6</v>
      </c>
      <c r="AG32" s="226">
        <v>7</v>
      </c>
      <c r="AH32" s="227">
        <v>8</v>
      </c>
      <c r="AK32" s="24"/>
      <c r="AL32" s="155" t="s">
        <v>112</v>
      </c>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U32" s="24"/>
      <c r="BV32" s="24"/>
      <c r="BW32" s="24"/>
      <c r="BX32" s="24"/>
      <c r="BY32" s="24"/>
      <c r="BZ32" s="24"/>
      <c r="CA32" s="24"/>
      <c r="CB32" s="24"/>
      <c r="CC32" s="24"/>
      <c r="CD32" s="24"/>
      <c r="CE32" s="24"/>
      <c r="CF32" s="24"/>
      <c r="CG32" s="24"/>
      <c r="CH32" s="24"/>
      <c r="CI32" s="24"/>
      <c r="CJ32" s="24"/>
      <c r="CK32" s="24"/>
      <c r="CL32" s="24"/>
      <c r="CM32" s="24"/>
      <c r="CN32" s="24"/>
      <c r="CO32" s="24"/>
    </row>
    <row r="33" spans="1:93" ht="16.5" customHeight="1" x14ac:dyDescent="0.3">
      <c r="A33" s="24"/>
      <c r="B33" s="35" t="s">
        <v>272</v>
      </c>
      <c r="C33" s="33"/>
      <c r="D33" s="33"/>
      <c r="E33" s="33"/>
      <c r="F33" s="33"/>
      <c r="G33" s="33"/>
      <c r="H33" s="33"/>
      <c r="I33" s="33"/>
      <c r="J33" s="33"/>
      <c r="K33" s="33"/>
      <c r="L33" s="33"/>
      <c r="M33" s="24"/>
      <c r="N33">
        <v>1</v>
      </c>
      <c r="O33" s="145" t="s">
        <v>318</v>
      </c>
      <c r="P33" s="215"/>
      <c r="Q33" s="193">
        <v>0.4</v>
      </c>
      <c r="R33" s="193">
        <f>'CZ03 Factors'!N22</f>
        <v>0.26</v>
      </c>
      <c r="S33" s="193">
        <f>'CZ04 Factors'!N22</f>
        <v>0.6</v>
      </c>
      <c r="T33" s="193">
        <f>'CZ05 Factors'!N22</f>
        <v>0.6</v>
      </c>
      <c r="U33" s="193">
        <f>'CZ05 BC Factors'!N22</f>
        <v>0.4</v>
      </c>
      <c r="V33" s="193">
        <f>'CZ06 Factors'!N22</f>
        <v>0.6</v>
      </c>
      <c r="W33" s="193">
        <f>'CZ07 Factors'!N22</f>
        <v>0.6</v>
      </c>
      <c r="X33" s="216">
        <f>'CZ08 Factors'!N22</f>
        <v>0.5</v>
      </c>
      <c r="Y33" s="147" t="s">
        <v>318</v>
      </c>
      <c r="Z33" s="222"/>
      <c r="AA33" s="193">
        <f>'CZ02 Factors'!N59</f>
        <v>1</v>
      </c>
      <c r="AB33" s="193">
        <f>'CZ03 Factors'!N59</f>
        <v>1</v>
      </c>
      <c r="AC33" s="193">
        <f>'CZ04 Factors'!N59</f>
        <v>1</v>
      </c>
      <c r="AD33" s="193">
        <f>'CZ05 Factors'!N59</f>
        <v>1</v>
      </c>
      <c r="AE33" s="193">
        <f>'CZ05 BC Factors'!N59</f>
        <v>0.3</v>
      </c>
      <c r="AF33" s="193">
        <f>'CZ06 Factors'!N57</f>
        <v>1</v>
      </c>
      <c r="AG33" s="193">
        <f>'CZ07 Factors'!N59</f>
        <v>1</v>
      </c>
      <c r="AH33" s="216">
        <f>'CZ08 Factors'!N59</f>
        <v>1</v>
      </c>
      <c r="AK33" s="190" t="s">
        <v>457</v>
      </c>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U33" s="24"/>
      <c r="BV33" s="24"/>
      <c r="BW33" s="24"/>
      <c r="BX33" s="24"/>
      <c r="BY33" s="24"/>
      <c r="BZ33" s="24"/>
      <c r="CA33" s="24"/>
      <c r="CB33" s="24"/>
      <c r="CC33" s="24"/>
      <c r="CD33" s="24"/>
      <c r="CE33" s="24"/>
      <c r="CF33" s="24"/>
      <c r="CG33" s="24"/>
      <c r="CH33" s="24"/>
      <c r="CI33" s="24"/>
      <c r="CJ33" s="24"/>
      <c r="CK33" s="24"/>
      <c r="CL33" s="24"/>
      <c r="CM33" s="24"/>
      <c r="CN33" s="24"/>
      <c r="CO33" s="24"/>
    </row>
    <row r="34" spans="1:93" ht="16.5" customHeight="1" x14ac:dyDescent="0.25">
      <c r="A34" s="24"/>
      <c r="B34" s="24"/>
      <c r="C34" s="36" t="s">
        <v>268</v>
      </c>
      <c r="D34" s="37">
        <v>1</v>
      </c>
      <c r="E34" s="37">
        <v>2</v>
      </c>
      <c r="F34" s="37">
        <v>3</v>
      </c>
      <c r="G34" s="37">
        <v>4</v>
      </c>
      <c r="H34" s="37">
        <v>5</v>
      </c>
      <c r="I34" s="37" t="s">
        <v>394</v>
      </c>
      <c r="J34" s="37">
        <v>6</v>
      </c>
      <c r="K34" s="37">
        <v>7</v>
      </c>
      <c r="L34" s="37">
        <v>8</v>
      </c>
      <c r="M34" s="24"/>
      <c r="N34" s="24">
        <v>2</v>
      </c>
      <c r="O34" s="149" t="s">
        <v>323</v>
      </c>
      <c r="P34" s="217"/>
      <c r="Q34" s="194">
        <v>1.1000000000000001</v>
      </c>
      <c r="R34" s="194">
        <f>'CZ03 Factors'!N23</f>
        <v>1.19</v>
      </c>
      <c r="S34" s="194">
        <f>'CZ04 Factors'!N23</f>
        <v>1.3</v>
      </c>
      <c r="T34" s="194">
        <f>'CZ05 Factors'!N23</f>
        <v>1.3</v>
      </c>
      <c r="U34" s="194">
        <f>'CZ05 BC Factors'!N23</f>
        <v>1.4</v>
      </c>
      <c r="V34" s="194">
        <f>'CZ06 Factors'!N23</f>
        <v>1.3</v>
      </c>
      <c r="W34" s="194">
        <f>'CZ07 Factors'!N23</f>
        <v>1.3</v>
      </c>
      <c r="X34" s="218">
        <f>'CZ08 Factors'!N23</f>
        <v>1.1499999999999999</v>
      </c>
      <c r="Y34" s="151" t="s">
        <v>323</v>
      </c>
      <c r="Z34" s="223"/>
      <c r="AA34" s="194">
        <f>'CZ02 Factors'!N60</f>
        <v>1.2</v>
      </c>
      <c r="AB34" s="194">
        <f>'CZ03 Factors'!N60</f>
        <v>1.3</v>
      </c>
      <c r="AC34" s="194">
        <f>'CZ04 Factors'!N60</f>
        <v>1.4</v>
      </c>
      <c r="AD34" s="194">
        <f>'CZ05 Factors'!N60</f>
        <v>1.2</v>
      </c>
      <c r="AE34" s="194">
        <f>'CZ05 BC Factors'!N60</f>
        <v>1.1000000000000001</v>
      </c>
      <c r="AF34" s="194">
        <f>'CZ06 Factors'!N58</f>
        <v>1.4</v>
      </c>
      <c r="AG34" s="194">
        <f>'CZ07 Factors'!N60</f>
        <v>1.1000000000000001</v>
      </c>
      <c r="AH34" s="218">
        <f>'CZ08 Factors'!N60</f>
        <v>0.7</v>
      </c>
      <c r="AK34" s="160" t="s">
        <v>324</v>
      </c>
      <c r="AL34" s="151" t="s">
        <v>277</v>
      </c>
      <c r="AM34" s="151" t="s">
        <v>278</v>
      </c>
      <c r="AN34" s="151" t="s">
        <v>279</v>
      </c>
      <c r="AO34" s="151" t="s">
        <v>280</v>
      </c>
      <c r="AP34" s="151" t="s">
        <v>281</v>
      </c>
      <c r="AQ34" s="151" t="s">
        <v>282</v>
      </c>
      <c r="AR34" s="151" t="s">
        <v>283</v>
      </c>
      <c r="AS34" s="152" t="s">
        <v>284</v>
      </c>
      <c r="AT34" s="24"/>
      <c r="AU34" s="24"/>
      <c r="AV34" s="24"/>
      <c r="AW34" s="24"/>
      <c r="AX34" s="24"/>
      <c r="AY34" s="24"/>
      <c r="AZ34" s="24"/>
      <c r="BA34" s="24"/>
      <c r="BB34" s="24"/>
      <c r="BC34" s="24"/>
      <c r="BD34" s="24"/>
      <c r="BE34" s="24"/>
      <c r="BF34" s="24"/>
      <c r="BG34" s="24"/>
      <c r="BH34" s="24"/>
      <c r="BI34" s="24"/>
      <c r="BJ34" s="24"/>
      <c r="BK34" s="24"/>
      <c r="BU34" s="24"/>
      <c r="BV34" s="24"/>
      <c r="BW34" s="24"/>
      <c r="BX34" s="24"/>
      <c r="BY34" s="24"/>
      <c r="BZ34" s="24"/>
      <c r="CA34" s="24"/>
      <c r="CB34" s="24"/>
      <c r="CC34" s="24"/>
      <c r="CD34" s="24"/>
      <c r="CE34" s="24"/>
      <c r="CF34" s="24"/>
      <c r="CG34" s="24"/>
      <c r="CH34" s="24"/>
      <c r="CI34" s="24"/>
      <c r="CJ34" s="24"/>
      <c r="CK34" s="24"/>
      <c r="CL34" s="24"/>
      <c r="CM34" s="24"/>
      <c r="CN34" s="24"/>
      <c r="CO34" s="24"/>
    </row>
    <row r="35" spans="1:93" ht="16.5" customHeight="1" x14ac:dyDescent="0.4">
      <c r="A35" s="24"/>
      <c r="B35" s="38" t="s">
        <v>79</v>
      </c>
      <c r="C35" s="39" t="s">
        <v>269</v>
      </c>
      <c r="D35" s="244">
        <v>1.4850000000000001</v>
      </c>
      <c r="E35" s="245">
        <f>'CZ02 Factors'!$P$65</f>
        <v>9.3665972059342959</v>
      </c>
      <c r="F35" s="245">
        <f>'CZ03 Factors'!$P$65</f>
        <v>14.745143611608942</v>
      </c>
      <c r="G35" s="245">
        <f>'CZ04 Factors'!$P$65</f>
        <v>8.0399999999999991</v>
      </c>
      <c r="H35" s="245">
        <f>'CZ05 Factors'!$P$65</f>
        <v>8.3159469233965719</v>
      </c>
      <c r="I35" s="245">
        <f>'CZ05 BC Factors'!$P$65</f>
        <v>10.124958786367181</v>
      </c>
      <c r="J35" s="245">
        <f>'CZ06 Factors'!$P$63</f>
        <v>6.0640475483087757</v>
      </c>
      <c r="K35" s="245">
        <v>7.96</v>
      </c>
      <c r="L35" s="246">
        <f>'CZ08 Factors'!$P$65</f>
        <v>9.4105230116780358</v>
      </c>
      <c r="M35" s="24"/>
      <c r="N35" s="24">
        <v>3</v>
      </c>
      <c r="O35" s="157" t="s">
        <v>326</v>
      </c>
      <c r="P35" s="215"/>
      <c r="Q35" s="193">
        <v>0.9</v>
      </c>
      <c r="R35" s="193">
        <f>'CZ03 Factors'!N24</f>
        <v>1.1100000000000001</v>
      </c>
      <c r="S35" s="193">
        <f>'CZ04 Factors'!N24</f>
        <v>1.1000000000000001</v>
      </c>
      <c r="T35" s="193">
        <f>'CZ05 Factors'!N24</f>
        <v>1.2</v>
      </c>
      <c r="U35" s="193">
        <f>'CZ05 BC Factors'!N24</f>
        <v>0.7</v>
      </c>
      <c r="V35" s="193">
        <f>'CZ06 Factors'!N24</f>
        <v>1.1000000000000001</v>
      </c>
      <c r="W35" s="193">
        <f>'CZ07 Factors'!N24</f>
        <v>1.08</v>
      </c>
      <c r="X35" s="216">
        <f>'CZ08 Factors'!N24</f>
        <v>0.83</v>
      </c>
      <c r="Y35" s="210" t="s">
        <v>326</v>
      </c>
      <c r="Z35" s="222"/>
      <c r="AA35" s="193">
        <f>'CZ02 Factors'!N61</f>
        <v>0.7</v>
      </c>
      <c r="AB35" s="193">
        <f>'CZ03 Factors'!N61</f>
        <v>0.7</v>
      </c>
      <c r="AC35" s="193">
        <f>'CZ04 Factors'!N61</f>
        <v>0.95040000000000002</v>
      </c>
      <c r="AD35" s="193">
        <f>'CZ05 Factors'!N61</f>
        <v>0.6</v>
      </c>
      <c r="AE35" s="193">
        <f>'CZ05 BC Factors'!N61</f>
        <v>1.2</v>
      </c>
      <c r="AF35" s="193">
        <f>'CZ06 Factors'!N59</f>
        <v>1.1000000000000001</v>
      </c>
      <c r="AG35" s="193">
        <f>'CZ07 Factors'!N61</f>
        <v>0.8</v>
      </c>
      <c r="AH35" s="216">
        <f>'CZ08 Factors'!N61</f>
        <v>0.82</v>
      </c>
      <c r="AK35" s="156" t="s">
        <v>479</v>
      </c>
      <c r="AL35">
        <v>1</v>
      </c>
      <c r="AM35">
        <v>2</v>
      </c>
      <c r="AN35">
        <v>3</v>
      </c>
      <c r="AO35">
        <v>4</v>
      </c>
      <c r="AP35">
        <v>5</v>
      </c>
      <c r="AQ35">
        <v>6</v>
      </c>
      <c r="AR35">
        <v>7</v>
      </c>
      <c r="AS35">
        <v>8</v>
      </c>
      <c r="AT35" s="24"/>
      <c r="AU35" s="24"/>
      <c r="AV35" s="24"/>
      <c r="AW35" s="24"/>
      <c r="AX35" s="24"/>
      <c r="AY35" s="24"/>
      <c r="AZ35" s="24"/>
      <c r="BA35" s="24"/>
      <c r="BB35" s="24"/>
      <c r="BC35" s="24"/>
      <c r="BD35" s="24"/>
      <c r="BE35" s="24"/>
      <c r="BF35" s="24"/>
      <c r="BG35" s="24"/>
      <c r="BH35" s="24"/>
      <c r="BI35" s="24"/>
      <c r="BJ35" s="24"/>
      <c r="BK35" s="24"/>
      <c r="BU35" s="24"/>
      <c r="BV35" s="24"/>
      <c r="BW35" s="24"/>
      <c r="BX35" s="24"/>
      <c r="BY35" s="24"/>
      <c r="BZ35" s="24"/>
      <c r="CA35" s="24"/>
      <c r="CB35" s="24"/>
      <c r="CC35" s="24"/>
      <c r="CD35" s="24"/>
      <c r="CE35" s="24"/>
      <c r="CF35" s="24"/>
      <c r="CG35" s="24"/>
      <c r="CH35" s="24"/>
      <c r="CI35" s="24"/>
      <c r="CJ35" s="24"/>
      <c r="CK35" s="24"/>
      <c r="CL35" s="24"/>
      <c r="CM35" s="24"/>
      <c r="CN35" s="24"/>
      <c r="CO35" s="24"/>
    </row>
    <row r="36" spans="1:93" ht="16.5" customHeight="1" x14ac:dyDescent="0.4">
      <c r="A36" s="24"/>
      <c r="C36" s="199" t="s">
        <v>270</v>
      </c>
      <c r="D36" s="250" t="e">
        <f ca="1">D44</f>
        <v>#DIV/0!</v>
      </c>
      <c r="E36" s="250" t="e">
        <f t="shared" ref="E36:L36" ca="1" si="3">E44</f>
        <v>#DIV/0!</v>
      </c>
      <c r="F36" s="250" t="e">
        <f t="shared" ca="1" si="3"/>
        <v>#DIV/0!</v>
      </c>
      <c r="G36" s="250" t="e">
        <f t="shared" ca="1" si="3"/>
        <v>#DIV/0!</v>
      </c>
      <c r="H36" s="250" t="e">
        <f t="shared" ca="1" si="3"/>
        <v>#DIV/0!</v>
      </c>
      <c r="I36" s="250" t="e">
        <f t="shared" ca="1" si="3"/>
        <v>#DIV/0!</v>
      </c>
      <c r="J36" s="250" t="e">
        <f t="shared" ca="1" si="3"/>
        <v>#DIV/0!</v>
      </c>
      <c r="K36" s="250" t="e">
        <f t="shared" ca="1" si="3"/>
        <v>#DIV/0!</v>
      </c>
      <c r="L36" s="250" t="e">
        <f t="shared" ca="1" si="3"/>
        <v>#DIV/0!</v>
      </c>
      <c r="M36" s="24"/>
      <c r="N36" s="195">
        <v>4</v>
      </c>
      <c r="O36" s="158" t="s">
        <v>327</v>
      </c>
      <c r="P36" s="217"/>
      <c r="Q36" s="194">
        <v>1.8</v>
      </c>
      <c r="R36" s="194">
        <f>'CZ03 Factors'!N25</f>
        <v>0.79</v>
      </c>
      <c r="S36" s="194">
        <f>'CZ04 Factors'!N25</f>
        <v>0.7</v>
      </c>
      <c r="T36" s="194">
        <f>'CZ05 Factors'!N25</f>
        <v>1.2</v>
      </c>
      <c r="U36" s="194">
        <f>'CZ05 BC Factors'!N25</f>
        <v>1</v>
      </c>
      <c r="V36" s="194">
        <f>'CZ06 Factors'!N25</f>
        <v>0.7</v>
      </c>
      <c r="W36" s="194">
        <f>'CZ07 Factors'!N25</f>
        <v>1.22</v>
      </c>
      <c r="X36" s="218">
        <f>'CZ08 Factors'!N25</f>
        <v>1.52</v>
      </c>
      <c r="Y36" s="211" t="s">
        <v>327</v>
      </c>
      <c r="Z36" s="223"/>
      <c r="AA36" s="194">
        <f>'CZ02 Factors'!N62</f>
        <v>1.02</v>
      </c>
      <c r="AB36" s="194">
        <f>'CZ03 Factors'!N62</f>
        <v>0.5</v>
      </c>
      <c r="AC36" s="194">
        <f>'CZ04 Factors'!N62</f>
        <v>0.71279999999999999</v>
      </c>
      <c r="AD36" s="194">
        <f>'CZ05 Factors'!N62</f>
        <v>0.56999999999999995</v>
      </c>
      <c r="AE36" s="194">
        <f>'CZ05 BC Factors'!N62</f>
        <v>0.6</v>
      </c>
      <c r="AF36" s="194">
        <f>'CZ06 Factors'!N60</f>
        <v>1.35</v>
      </c>
      <c r="AG36" s="194">
        <f>'CZ07 Factors'!N62</f>
        <v>0.5</v>
      </c>
      <c r="AH36" s="218">
        <f>'CZ08 Factors'!N62</f>
        <v>0.32</v>
      </c>
      <c r="AK36" s="145">
        <v>1</v>
      </c>
      <c r="AL36" s="147">
        <v>0</v>
      </c>
      <c r="AM36" s="147">
        <v>0</v>
      </c>
      <c r="AN36" s="147">
        <v>0</v>
      </c>
      <c r="AO36" s="147">
        <v>0</v>
      </c>
      <c r="AP36" s="147">
        <v>0</v>
      </c>
      <c r="AQ36" s="147">
        <v>0</v>
      </c>
      <c r="AR36" s="147">
        <v>0</v>
      </c>
      <c r="AS36" s="148">
        <v>0</v>
      </c>
      <c r="AT36" s="24"/>
      <c r="AU36" s="24"/>
      <c r="AV36" s="24"/>
      <c r="AW36" s="24"/>
      <c r="AX36" s="24"/>
      <c r="AY36" s="24"/>
      <c r="AZ36" s="24"/>
      <c r="BA36" s="24"/>
      <c r="BB36" s="24"/>
      <c r="BC36" s="24"/>
      <c r="BD36" s="24"/>
      <c r="BE36" s="24"/>
      <c r="BF36" s="24"/>
      <c r="BG36" s="24"/>
      <c r="BH36" s="24"/>
      <c r="BI36" s="24"/>
      <c r="BJ36" s="24"/>
      <c r="BK36" s="24"/>
      <c r="BU36" s="24"/>
      <c r="BV36" s="24"/>
      <c r="BW36" s="24"/>
      <c r="BX36" s="24"/>
      <c r="BY36" s="24"/>
      <c r="BZ36" s="24"/>
      <c r="CA36" s="24"/>
      <c r="CB36" s="24"/>
      <c r="CC36" s="24"/>
      <c r="CD36" s="24"/>
      <c r="CE36" s="24"/>
      <c r="CF36" s="24"/>
      <c r="CG36" s="24"/>
      <c r="CH36" s="24"/>
      <c r="CI36" s="24"/>
      <c r="CJ36" s="24"/>
      <c r="CK36" s="24"/>
      <c r="CL36" s="24"/>
      <c r="CM36" s="24"/>
      <c r="CN36" s="24"/>
      <c r="CO36" s="24"/>
    </row>
    <row r="37" spans="1:93" ht="16.5" customHeight="1" x14ac:dyDescent="0.4">
      <c r="A37" s="24"/>
      <c r="B37" s="196">
        <v>0.05</v>
      </c>
      <c r="C37" s="40" t="s">
        <v>314</v>
      </c>
      <c r="D37" s="250">
        <f>'CZ01 Factors'!Q24</f>
        <v>4.3094094436355757E-2</v>
      </c>
      <c r="E37" s="251">
        <f>'CZ02 Factors'!Q42</f>
        <v>3.2395572687842586E-2</v>
      </c>
      <c r="F37" s="251">
        <f>'CZ03 Factors'!Q42</f>
        <v>7.6785416005468912E-2</v>
      </c>
      <c r="G37" s="251">
        <f>'CZ04 Factors'!Q42</f>
        <v>6.5104435561121124E-2</v>
      </c>
      <c r="H37" s="251">
        <f>'CZ05 Factors'!Q42</f>
        <v>3.3440786209938164E-2</v>
      </c>
      <c r="I37" s="251">
        <f>'CZ05 BC Factors'!Q42</f>
        <v>6.2971418540652399E-2</v>
      </c>
      <c r="J37" s="251">
        <f>'CZ06 Factors'!Q40</f>
        <v>9.6321593718147414E-2</v>
      </c>
      <c r="K37" s="251">
        <f>'CZ07 Factors'!Q42</f>
        <v>7.5038702786269285E-2</v>
      </c>
      <c r="L37" s="252">
        <f>'CZ08 Factors'!Q42</f>
        <v>9.0942087158660312E-2</v>
      </c>
      <c r="M37" s="24"/>
      <c r="N37" s="195">
        <v>5</v>
      </c>
      <c r="O37" s="145" t="s">
        <v>319</v>
      </c>
      <c r="P37" s="215"/>
      <c r="Q37" s="193">
        <v>1.03250584222305</v>
      </c>
      <c r="R37" s="193">
        <f>'CZ03 Factors'!N26</f>
        <v>1.0432576032414183</v>
      </c>
      <c r="S37" s="193">
        <f>'CZ04 Factors'!N26</f>
        <v>1.0409384708681515</v>
      </c>
      <c r="T37" s="193">
        <f>'CZ05 Factors'!N26</f>
        <v>1.0432004092050886</v>
      </c>
      <c r="U37" s="193">
        <f>'CZ05 BC Factors'!N26</f>
        <v>1.0432549227550578</v>
      </c>
      <c r="V37" s="193">
        <f>'CZ06 Factors'!N26</f>
        <v>1</v>
      </c>
      <c r="W37" s="193">
        <f>'CZ07 Factors'!N26</f>
        <v>1.0473414870636766</v>
      </c>
      <c r="X37" s="216">
        <f>'CZ08 Factors'!N26</f>
        <v>1</v>
      </c>
      <c r="Y37" s="147" t="s">
        <v>319</v>
      </c>
      <c r="Z37" s="222"/>
      <c r="AA37" s="193">
        <f>'CZ02 Factors'!N63</f>
        <v>1.03250584222305</v>
      </c>
      <c r="AB37" s="193">
        <f>'CZ03 Factors'!N63</f>
        <v>1.0432576032414183</v>
      </c>
      <c r="AC37" s="193">
        <f>'CZ04 Factors'!N63</f>
        <v>1.0409384708681515</v>
      </c>
      <c r="AD37" s="193">
        <f>'CZ05 Factors'!N63</f>
        <v>1</v>
      </c>
      <c r="AE37" s="193">
        <f>'CZ05 BC Factors'!N63</f>
        <v>1</v>
      </c>
      <c r="AF37" s="193">
        <f>'CZ06 Factors'!N61</f>
        <v>1</v>
      </c>
      <c r="AG37" s="193">
        <f>'CZ07 Factors'!N63</f>
        <v>1.0473414870636766</v>
      </c>
      <c r="AH37" s="216">
        <f>'CZ08 Factors'!N63</f>
        <v>1</v>
      </c>
      <c r="AK37" s="149">
        <v>2</v>
      </c>
      <c r="AL37" s="150">
        <f>'CZ02 Factors'!P59</f>
        <v>1.2</v>
      </c>
      <c r="AM37" s="150">
        <f>'CZ02 Factors'!Q59</f>
        <v>0.97499999999999998</v>
      </c>
      <c r="AN37" s="150">
        <f>'CZ02 Factors'!R59</f>
        <v>0.75</v>
      </c>
      <c r="AO37" s="150">
        <f>'CZ02 Factors'!S59</f>
        <v>0.75</v>
      </c>
      <c r="AP37" s="150">
        <f>'CZ02 Factors'!T59</f>
        <v>0.75</v>
      </c>
      <c r="AQ37" s="150">
        <f>'CZ02 Factors'!U59</f>
        <v>0.77500000000000002</v>
      </c>
      <c r="AR37" s="150">
        <f>'CZ02 Factors'!V59</f>
        <v>0.8</v>
      </c>
      <c r="AS37" s="153">
        <f>'CZ02 Factors'!W59</f>
        <v>1</v>
      </c>
      <c r="AT37" s="24"/>
      <c r="AU37" s="24"/>
      <c r="AV37" s="24"/>
      <c r="AW37" s="24"/>
      <c r="AX37" s="24"/>
      <c r="AY37" s="24"/>
      <c r="AZ37" s="24"/>
      <c r="BA37" s="24"/>
      <c r="BB37" s="24"/>
      <c r="BC37" s="24"/>
      <c r="BD37" s="24"/>
      <c r="BE37" s="24"/>
      <c r="BF37" s="24"/>
      <c r="BG37" s="24"/>
      <c r="BH37" s="24"/>
      <c r="BI37" s="24"/>
      <c r="BJ37" s="24"/>
      <c r="BK37" s="24"/>
      <c r="BU37" s="24"/>
      <c r="BV37" s="24"/>
      <c r="BW37" s="24"/>
      <c r="BX37" s="24"/>
      <c r="BY37" s="24"/>
      <c r="BZ37" s="24"/>
      <c r="CA37" s="24"/>
      <c r="CB37" s="24"/>
      <c r="CC37" s="24"/>
      <c r="CD37" s="24"/>
      <c r="CE37" s="24"/>
      <c r="CF37" s="24"/>
      <c r="CG37" s="24"/>
      <c r="CH37" s="24"/>
      <c r="CI37" s="24"/>
      <c r="CJ37" s="24"/>
      <c r="CK37" s="24"/>
      <c r="CL37" s="24"/>
      <c r="CM37" s="24"/>
      <c r="CN37" s="24"/>
      <c r="CO37" s="24"/>
    </row>
    <row r="38" spans="1:93" ht="16.5" customHeight="1" x14ac:dyDescent="0.4">
      <c r="A38" s="24"/>
      <c r="B38" s="197">
        <v>0.1</v>
      </c>
      <c r="C38" s="177" t="s">
        <v>315</v>
      </c>
      <c r="D38" s="253">
        <f>'CZ01 Factors'!Q25</f>
        <v>4.9671538045378313E-2</v>
      </c>
      <c r="E38" s="254">
        <f>'CZ02 Factors'!Q43</f>
        <v>4.0434670432203487E-2</v>
      </c>
      <c r="F38" s="254">
        <f>'CZ03 Factors'!Q43</f>
        <v>7.8311774241739213E-2</v>
      </c>
      <c r="G38" s="254">
        <f>'CZ04 Factors'!Q43</f>
        <v>6.9689428081950514E-2</v>
      </c>
      <c r="H38" s="254">
        <f>'CZ05 Factors'!Q43</f>
        <v>4.2598935627559953E-2</v>
      </c>
      <c r="I38" s="254">
        <f>'CZ05 BC Factors'!Q43</f>
        <v>6.8304751873985742E-2</v>
      </c>
      <c r="J38" s="254">
        <f>'CZ06 Factors'!Q41</f>
        <v>9.8948064728480362E-2</v>
      </c>
      <c r="K38" s="254">
        <f>'CZ07 Factors'!Q43</f>
        <v>7.7844298428481729E-2</v>
      </c>
      <c r="L38" s="255">
        <f>'CZ08 Factors'!Q43</f>
        <v>9.3227801444374592E-2</v>
      </c>
      <c r="M38" s="24"/>
      <c r="N38" s="195">
        <v>6</v>
      </c>
      <c r="O38" s="149" t="s">
        <v>320</v>
      </c>
      <c r="P38" s="217"/>
      <c r="Q38" s="194">
        <v>1</v>
      </c>
      <c r="R38" s="194">
        <f>'CZ03 Factors'!N27</f>
        <v>1</v>
      </c>
      <c r="S38" s="194">
        <f>'CZ04 Factors'!N27</f>
        <v>1</v>
      </c>
      <c r="T38" s="194">
        <f>'CZ05 Factors'!N27</f>
        <v>1</v>
      </c>
      <c r="U38" s="194">
        <f>'CZ05 BC Factors'!N27</f>
        <v>1</v>
      </c>
      <c r="V38" s="194">
        <f>'CZ06 Factors'!N27</f>
        <v>0.95768558840835138</v>
      </c>
      <c r="W38" s="194">
        <f>'CZ07 Factors'!N27</f>
        <v>1</v>
      </c>
      <c r="X38" s="218">
        <f>'CZ08 Factors'!N27</f>
        <v>1</v>
      </c>
      <c r="Y38" s="151" t="s">
        <v>320</v>
      </c>
      <c r="Z38" s="223"/>
      <c r="AA38" s="194">
        <f>'CZ02 Factors'!N64</f>
        <v>0.99</v>
      </c>
      <c r="AB38" s="194">
        <f>'CZ03 Factors'!N64</f>
        <v>1</v>
      </c>
      <c r="AC38" s="194">
        <f>'CZ04 Factors'!N64</f>
        <v>1</v>
      </c>
      <c r="AD38" s="194">
        <f>'CZ05 Factors'!N64</f>
        <v>0.93</v>
      </c>
      <c r="AE38" s="194">
        <f>'CZ05 BC Factors'!N64</f>
        <v>1</v>
      </c>
      <c r="AF38" s="194">
        <f>'CZ06 Factors'!N62</f>
        <v>0.96</v>
      </c>
      <c r="AG38" s="194">
        <f>'CZ07 Factors'!N64</f>
        <v>1</v>
      </c>
      <c r="AH38" s="218">
        <f>'CZ08 Factors'!N64</f>
        <v>1</v>
      </c>
      <c r="AK38" s="145">
        <v>3</v>
      </c>
      <c r="AL38" s="146">
        <f>'CZ03 Factors'!P59</f>
        <v>1.2</v>
      </c>
      <c r="AM38" s="146">
        <f>'CZ03 Factors'!Q59</f>
        <v>1.1499999999999999</v>
      </c>
      <c r="AN38" s="146">
        <f>'CZ03 Factors'!R59</f>
        <v>1.1000000000000001</v>
      </c>
      <c r="AO38" s="146">
        <f>'CZ03 Factors'!S59</f>
        <v>0.95000000000000007</v>
      </c>
      <c r="AP38" s="146">
        <f>'CZ03 Factors'!T59</f>
        <v>0.8</v>
      </c>
      <c r="AQ38" s="146">
        <f>'CZ03 Factors'!U59</f>
        <v>1.0049999999999999</v>
      </c>
      <c r="AR38" s="146">
        <f>'CZ03 Factors'!V59</f>
        <v>1.21</v>
      </c>
      <c r="AS38" s="154">
        <f>'CZ03 Factors'!W59</f>
        <v>1.2050000000000001</v>
      </c>
      <c r="AT38" s="24"/>
      <c r="AU38" s="24"/>
      <c r="AV38" s="24"/>
      <c r="AW38" s="24"/>
      <c r="AX38" s="24"/>
      <c r="AY38" s="24"/>
      <c r="AZ38" s="24"/>
      <c r="BA38" s="24"/>
      <c r="BB38" s="24"/>
      <c r="BC38" s="24"/>
      <c r="BD38" s="24"/>
      <c r="BE38" s="24"/>
      <c r="BF38" s="24"/>
      <c r="BG38" s="24"/>
      <c r="BH38" s="24"/>
      <c r="BI38" s="24"/>
      <c r="BJ38" s="24"/>
      <c r="BK38" s="24"/>
      <c r="BU38" s="24"/>
      <c r="BV38" s="24"/>
      <c r="BW38" s="24"/>
      <c r="BX38" s="24"/>
      <c r="BY38" s="24"/>
      <c r="BZ38" s="24"/>
      <c r="CA38" s="24"/>
      <c r="CB38" s="24"/>
      <c r="CC38" s="24"/>
      <c r="CD38" s="24"/>
      <c r="CE38" s="24"/>
      <c r="CF38" s="24"/>
      <c r="CG38" s="24"/>
      <c r="CH38" s="24"/>
      <c r="CI38" s="24"/>
      <c r="CJ38" s="24"/>
      <c r="CK38" s="24"/>
      <c r="CL38" s="24"/>
      <c r="CM38" s="24"/>
      <c r="CN38" s="24"/>
      <c r="CO38" s="24"/>
    </row>
    <row r="39" spans="1:93" ht="16.5" customHeight="1" x14ac:dyDescent="0.4">
      <c r="A39" s="24"/>
      <c r="B39" s="197">
        <v>0.15</v>
      </c>
      <c r="C39" s="177" t="s">
        <v>316</v>
      </c>
      <c r="D39" s="253">
        <f>'CZ01 Factors'!Q26</f>
        <v>5.4056500451393354E-2</v>
      </c>
      <c r="E39" s="254">
        <f>'CZ02 Factors'!Q44</f>
        <v>4.5794068928444093E-2</v>
      </c>
      <c r="F39" s="254">
        <f>'CZ03 Factors'!Q44</f>
        <v>7.9159751039667159E-2</v>
      </c>
      <c r="G39" s="254">
        <f>'CZ04 Factors'!Q44</f>
        <v>7.2102582040281776E-2</v>
      </c>
      <c r="H39" s="254">
        <f>'CZ05 Factors'!Q44</f>
        <v>4.7686796415127602E-2</v>
      </c>
      <c r="I39" s="254">
        <f>'CZ05 BC Factors'!Q44</f>
        <v>7.0971418540652406E-2</v>
      </c>
      <c r="J39" s="254">
        <f>'CZ06 Factors'!Q42</f>
        <v>0.10014191518772261</v>
      </c>
      <c r="K39" s="254">
        <f>'CZ07 Factors'!Q44</f>
        <v>7.8883407925597449E-2</v>
      </c>
      <c r="L39" s="255">
        <f>'CZ08 Factors'!Q44</f>
        <v>9.4370658587231732E-2</v>
      </c>
      <c r="M39" s="24"/>
      <c r="N39" s="195">
        <v>7</v>
      </c>
      <c r="O39" s="145" t="s">
        <v>321</v>
      </c>
      <c r="P39" s="215"/>
      <c r="Q39" s="193">
        <v>0.97983567156805806</v>
      </c>
      <c r="R39" s="193">
        <f>'CZ03 Factors'!N28</f>
        <v>0.97306303142169182</v>
      </c>
      <c r="S39" s="193">
        <f>'CZ04 Factors'!N28</f>
        <v>0.97625430893937937</v>
      </c>
      <c r="T39" s="193">
        <f>'CZ05 Factors'!N28</f>
        <v>0.97470132464735315</v>
      </c>
      <c r="U39" s="193">
        <f>'CZ05 BC Factors'!N28</f>
        <v>0.97268939299298474</v>
      </c>
      <c r="V39" s="193">
        <f>'CZ06 Factors'!N28</f>
        <v>0.93149565027128711</v>
      </c>
      <c r="W39" s="193">
        <f>'CZ07 Factors'!N28</f>
        <v>0.9716373261423854</v>
      </c>
      <c r="X39" s="216">
        <f>'CZ08 Factors'!N28</f>
        <v>0.95769462688388218</v>
      </c>
      <c r="Y39" s="147" t="s">
        <v>321</v>
      </c>
      <c r="Z39" s="222"/>
      <c r="AA39" s="193">
        <f>'CZ02 Factors'!N65</f>
        <v>0.97</v>
      </c>
      <c r="AB39" s="193">
        <f>'CZ03 Factors'!N65</f>
        <v>0.97306303142169182</v>
      </c>
      <c r="AC39" s="193">
        <f>'CZ04 Factors'!N65</f>
        <v>0.97625430893937937</v>
      </c>
      <c r="AD39" s="193">
        <f>'CZ05 Factors'!N65</f>
        <v>0.9</v>
      </c>
      <c r="AE39" s="193">
        <f>'CZ05 BC Factors'!N65</f>
        <v>0.9</v>
      </c>
      <c r="AF39" s="193">
        <f>'CZ06 Factors'!N63</f>
        <v>0.83</v>
      </c>
      <c r="AG39" s="193">
        <f>'CZ07 Factors'!N65</f>
        <v>0.9716373261423854</v>
      </c>
      <c r="AH39" s="216">
        <f>'CZ08 Factors'!N65</f>
        <v>0.95769462688388218</v>
      </c>
      <c r="AK39" s="149">
        <v>4</v>
      </c>
      <c r="AL39" s="150">
        <f>'CZ04 Factors'!P59</f>
        <v>1.2</v>
      </c>
      <c r="AM39" s="150">
        <f>'CZ04 Factors'!Q59</f>
        <v>1.05</v>
      </c>
      <c r="AN39" s="150">
        <f>'CZ04 Factors'!R59</f>
        <v>0.9</v>
      </c>
      <c r="AO39" s="150">
        <f>'CZ04 Factors'!S59</f>
        <v>0.9</v>
      </c>
      <c r="AP39" s="150">
        <f>'CZ04 Factors'!T59</f>
        <v>0.9</v>
      </c>
      <c r="AQ39" s="150">
        <f>'CZ04 Factors'!U59</f>
        <v>0.9</v>
      </c>
      <c r="AR39" s="150">
        <f>'CZ04 Factors'!V59</f>
        <v>0.9</v>
      </c>
      <c r="AS39" s="153">
        <f>'CZ04 Factors'!W59</f>
        <v>1.05</v>
      </c>
      <c r="AT39" s="24"/>
      <c r="AU39" s="24"/>
      <c r="AV39" s="24"/>
      <c r="AW39" s="24"/>
      <c r="AX39" s="24"/>
      <c r="AY39" s="24"/>
      <c r="AZ39" s="24"/>
      <c r="BA39" s="24"/>
      <c r="BB39" s="24"/>
      <c r="BC39" s="24"/>
      <c r="BD39" s="24"/>
      <c r="BE39" s="24"/>
      <c r="BF39" s="24"/>
      <c r="BG39" s="24"/>
      <c r="BH39" s="24"/>
      <c r="BI39" s="24"/>
      <c r="BJ39" s="24"/>
      <c r="BK39" s="24"/>
      <c r="BU39" s="24"/>
      <c r="BV39" s="24"/>
      <c r="BW39" s="24"/>
      <c r="BX39" s="24"/>
      <c r="BY39" s="24"/>
      <c r="BZ39" s="24"/>
      <c r="CA39" s="24"/>
      <c r="CB39" s="24"/>
      <c r="CC39" s="24"/>
      <c r="CD39" s="24"/>
      <c r="CE39" s="24"/>
      <c r="CF39" s="24"/>
      <c r="CG39" s="24"/>
      <c r="CH39" s="24"/>
      <c r="CI39" s="24"/>
      <c r="CJ39" s="24"/>
      <c r="CK39" s="24"/>
      <c r="CL39" s="24"/>
      <c r="CM39" s="24"/>
      <c r="CN39" s="24"/>
      <c r="CO39" s="24"/>
    </row>
    <row r="40" spans="1:93" ht="16.5" customHeight="1" thickBot="1" x14ac:dyDescent="0.45">
      <c r="A40" s="24"/>
      <c r="B40" s="197">
        <v>0.2</v>
      </c>
      <c r="C40" s="177" t="s">
        <v>317</v>
      </c>
      <c r="D40" s="253">
        <f>'CZ01 Factors'!Q27</f>
        <v>5.6979808722070042E-2</v>
      </c>
      <c r="E40" s="254">
        <f>'CZ02 Factors'!Q45</f>
        <v>4.9367001259271154E-2</v>
      </c>
      <c r="F40" s="254">
        <f>'CZ03 Factors'!Q45</f>
        <v>7.963084926073824E-2</v>
      </c>
      <c r="G40" s="254">
        <f>'CZ04 Factors'!Q45</f>
        <v>7.3372663070982433E-2</v>
      </c>
      <c r="H40" s="254">
        <f>'CZ05 Factors'!Q45</f>
        <v>5.0513385741554076E-2</v>
      </c>
      <c r="I40" s="254">
        <f>'CZ05 BC Factors'!Q45</f>
        <v>7.2304751873985745E-2</v>
      </c>
      <c r="J40" s="254">
        <f>'CZ06 Factors'!Q43</f>
        <v>0.10068457448737819</v>
      </c>
      <c r="K40" s="254">
        <f>'CZ07 Factors'!Q45</f>
        <v>7.9268263294899569E-2</v>
      </c>
      <c r="L40" s="255">
        <f>'CZ08 Factors'!Q45</f>
        <v>9.4942087158660315E-2</v>
      </c>
      <c r="M40" s="24"/>
      <c r="N40">
        <v>8</v>
      </c>
      <c r="O40" s="149" t="s">
        <v>322</v>
      </c>
      <c r="P40" s="219"/>
      <c r="Q40" s="220">
        <v>1.1399999999999999</v>
      </c>
      <c r="R40" s="220">
        <f>'CZ03 Factors'!N29</f>
        <v>1.1499999999999999</v>
      </c>
      <c r="S40" s="220">
        <f>'CZ04 Factors'!N29</f>
        <v>1.03</v>
      </c>
      <c r="T40" s="220">
        <f>'CZ05 Factors'!N29</f>
        <v>1.05</v>
      </c>
      <c r="U40" s="220">
        <f>'CZ05 BC Factors'!N29</f>
        <v>1.1000000000000001</v>
      </c>
      <c r="V40" s="220">
        <f>'CZ06 Factors'!N29</f>
        <v>0.95</v>
      </c>
      <c r="W40" s="220">
        <f>'CZ07 Factors'!N29</f>
        <v>1.03</v>
      </c>
      <c r="X40" s="221">
        <f>'CZ08 Factors'!N29</f>
        <v>0.91</v>
      </c>
      <c r="Y40" s="151" t="s">
        <v>322</v>
      </c>
      <c r="Z40" s="224"/>
      <c r="AA40" s="220">
        <v>1</v>
      </c>
      <c r="AB40" s="220">
        <v>1</v>
      </c>
      <c r="AC40" s="220">
        <v>1</v>
      </c>
      <c r="AD40" s="220">
        <v>1</v>
      </c>
      <c r="AE40" s="220">
        <v>1</v>
      </c>
      <c r="AF40" s="220">
        <v>1</v>
      </c>
      <c r="AG40" s="220">
        <v>1</v>
      </c>
      <c r="AH40" s="221">
        <v>1</v>
      </c>
      <c r="AK40" s="145">
        <v>5</v>
      </c>
      <c r="AL40" s="146">
        <f>'CZ05 Factors'!P59</f>
        <v>1.2</v>
      </c>
      <c r="AM40" s="146">
        <f>'CZ05 Factors'!Q59</f>
        <v>1</v>
      </c>
      <c r="AN40" s="146">
        <f>'CZ05 Factors'!R59</f>
        <v>0.8</v>
      </c>
      <c r="AO40" s="146">
        <f>'CZ05 Factors'!S59</f>
        <v>0.8</v>
      </c>
      <c r="AP40" s="146">
        <f>'CZ05 Factors'!T59</f>
        <v>0.8</v>
      </c>
      <c r="AQ40" s="146">
        <f>'CZ05 Factors'!U59</f>
        <v>0.85000000000000009</v>
      </c>
      <c r="AR40" s="146">
        <f>'CZ05 Factors'!V59</f>
        <v>0.9</v>
      </c>
      <c r="AS40" s="154">
        <f>'CZ05 Factors'!W59</f>
        <v>1.05</v>
      </c>
      <c r="AT40" s="24"/>
      <c r="AU40" s="24"/>
      <c r="AV40" s="24"/>
      <c r="AW40" s="24"/>
      <c r="AX40" s="24"/>
      <c r="AY40" s="24"/>
      <c r="AZ40" s="24"/>
      <c r="BA40" s="24"/>
      <c r="BB40" s="24"/>
      <c r="BC40" s="24"/>
      <c r="BD40" s="24"/>
      <c r="BE40" s="24"/>
      <c r="BF40" s="24"/>
      <c r="BG40" s="24"/>
      <c r="BH40" s="24"/>
      <c r="BI40" s="24"/>
      <c r="BJ40" s="24"/>
      <c r="BK40" s="24"/>
      <c r="BU40" s="24"/>
      <c r="BV40" s="24"/>
      <c r="BW40" s="24"/>
      <c r="BX40" s="24"/>
      <c r="BY40" s="24"/>
      <c r="BZ40" s="24"/>
      <c r="CA40" s="24"/>
      <c r="CB40" s="24"/>
      <c r="CC40" s="24"/>
      <c r="CD40" s="24"/>
      <c r="CE40" s="24"/>
      <c r="CF40" s="24"/>
      <c r="CG40" s="24"/>
      <c r="CH40" s="24"/>
      <c r="CI40" s="24"/>
      <c r="CJ40" s="24"/>
      <c r="CK40" s="24"/>
      <c r="CL40" s="24"/>
      <c r="CM40" s="24"/>
      <c r="CN40" s="24"/>
      <c r="CO40" s="24"/>
    </row>
    <row r="41" spans="1:93" ht="16.5" customHeight="1" x14ac:dyDescent="0.25">
      <c r="A41" s="24"/>
      <c r="B41" s="41" t="s">
        <v>460</v>
      </c>
      <c r="C41" s="198" t="e">
        <f>Calculator!$CT$101</f>
        <v>#DIV/0!</v>
      </c>
      <c r="D41" s="139"/>
      <c r="E41" s="140"/>
      <c r="F41" s="140"/>
      <c r="G41" s="140"/>
      <c r="H41" s="140"/>
      <c r="I41" s="140"/>
      <c r="J41" s="140"/>
      <c r="K41" s="140"/>
      <c r="L41" s="141"/>
      <c r="M41" s="24"/>
      <c r="N41" s="24"/>
      <c r="P41">
        <f>Zone</f>
        <v>0</v>
      </c>
      <c r="AG41" s="24"/>
      <c r="AH41" s="24"/>
      <c r="AK41" s="158" t="s">
        <v>394</v>
      </c>
      <c r="AL41" s="150">
        <f>'CZ05 BC Factors'!P59</f>
        <v>1</v>
      </c>
      <c r="AM41" s="150">
        <f>'CZ05 BC Factors'!Q59</f>
        <v>0.97499999999999998</v>
      </c>
      <c r="AN41" s="150">
        <f>'CZ05 BC Factors'!R59</f>
        <v>0.95</v>
      </c>
      <c r="AO41" s="150">
        <f>'CZ05 BC Factors'!S59</f>
        <v>0.92500000000000004</v>
      </c>
      <c r="AP41" s="150">
        <f>'CZ05 BC Factors'!T59</f>
        <v>0.9</v>
      </c>
      <c r="AQ41" s="150">
        <f>'CZ05 BC Factors'!U59</f>
        <v>0.92500000000000004</v>
      </c>
      <c r="AR41" s="150">
        <f>'CZ05 BC Factors'!V59</f>
        <v>0.95</v>
      </c>
      <c r="AS41" s="153">
        <f>'CZ05 BC Factors'!W59</f>
        <v>0.97499999999999998</v>
      </c>
      <c r="AT41" s="24"/>
      <c r="AU41" s="24"/>
      <c r="AV41" s="24"/>
      <c r="AW41" s="24"/>
      <c r="AX41" s="24"/>
      <c r="AY41" s="24"/>
      <c r="AZ41" s="24"/>
      <c r="BA41" s="24"/>
      <c r="BB41" s="24"/>
      <c r="BC41" s="24"/>
      <c r="BD41" s="24"/>
      <c r="BE41" s="24"/>
      <c r="BF41" s="24"/>
      <c r="BG41" s="24"/>
      <c r="BH41" s="24"/>
      <c r="BI41" s="24"/>
      <c r="BJ41" s="24"/>
      <c r="BK41" s="24"/>
      <c r="BU41" s="24"/>
      <c r="BV41" s="24"/>
      <c r="BW41" s="24"/>
      <c r="BX41" s="24"/>
      <c r="BY41" s="24"/>
      <c r="BZ41" s="24"/>
      <c r="CA41" s="24"/>
      <c r="CB41" s="24"/>
      <c r="CC41" s="24"/>
      <c r="CD41" s="24"/>
      <c r="CE41" s="24"/>
      <c r="CF41" s="24"/>
      <c r="CG41" s="24"/>
      <c r="CH41" s="24"/>
      <c r="CI41" s="24"/>
      <c r="CJ41" s="24"/>
      <c r="CK41" s="24"/>
      <c r="CL41" s="24"/>
      <c r="CM41" s="24"/>
      <c r="CN41" s="24"/>
      <c r="CO41" s="24"/>
    </row>
    <row r="42" spans="1:93" ht="16.5" customHeight="1" x14ac:dyDescent="0.25">
      <c r="A42" s="24"/>
      <c r="B42" t="e">
        <f ca="1">OFFSET(B$36,$C42,0)</f>
        <v>#DIV/0!</v>
      </c>
      <c r="C42" t="e">
        <f>MATCH(C41,B37:B40,1)</f>
        <v>#DIV/0!</v>
      </c>
      <c r="D42" s="256" t="e">
        <f ca="1">OFFSET(D$36,$C42,0)</f>
        <v>#DIV/0!</v>
      </c>
      <c r="E42" s="256" t="e">
        <f t="shared" ref="E42:L43" ca="1" si="4">OFFSET(E$36,$C42,0)</f>
        <v>#DIV/0!</v>
      </c>
      <c r="F42" s="256" t="e">
        <f t="shared" ca="1" si="4"/>
        <v>#DIV/0!</v>
      </c>
      <c r="G42" s="256" t="e">
        <f t="shared" ca="1" si="4"/>
        <v>#DIV/0!</v>
      </c>
      <c r="H42" s="256" t="e">
        <f t="shared" ca="1" si="4"/>
        <v>#DIV/0!</v>
      </c>
      <c r="I42" s="256" t="e">
        <f t="shared" ca="1" si="4"/>
        <v>#DIV/0!</v>
      </c>
      <c r="J42" s="256" t="e">
        <f t="shared" ca="1" si="4"/>
        <v>#DIV/0!</v>
      </c>
      <c r="K42" s="256" t="e">
        <f t="shared" ca="1" si="4"/>
        <v>#DIV/0!</v>
      </c>
      <c r="L42" s="256" t="e">
        <f t="shared" ca="1" si="4"/>
        <v>#DIV/0!</v>
      </c>
      <c r="M42" s="24"/>
      <c r="N42" s="24"/>
      <c r="O42" s="155" t="s">
        <v>482</v>
      </c>
      <c r="P42" s="24" t="e">
        <f>HLOOKUP(P41,W_Slab_Fact,4)</f>
        <v>#N/A</v>
      </c>
      <c r="Q42" s="24"/>
      <c r="R42" s="24"/>
      <c r="S42" s="24"/>
      <c r="T42" s="24"/>
      <c r="U42" s="24"/>
      <c r="V42" s="24"/>
      <c r="W42" s="24"/>
      <c r="X42" s="24"/>
      <c r="Y42" s="24"/>
      <c r="Z42" s="24"/>
      <c r="AA42" s="24"/>
      <c r="AB42" s="24"/>
      <c r="AC42" s="24"/>
      <c r="AD42" s="24"/>
      <c r="AE42" s="24"/>
      <c r="AF42" s="24"/>
      <c r="AG42" s="24"/>
      <c r="AH42" s="24"/>
      <c r="AI42" s="24"/>
      <c r="AK42" s="143">
        <v>6</v>
      </c>
      <c r="AL42" s="144">
        <f>'CZ06 Factors'!P57</f>
        <v>1</v>
      </c>
      <c r="AM42" s="144">
        <f>'CZ06 Factors'!Q57</f>
        <v>0.9</v>
      </c>
      <c r="AN42" s="144">
        <f>'CZ06 Factors'!R57</f>
        <v>0.8</v>
      </c>
      <c r="AO42" s="144">
        <f>'CZ06 Factors'!S57</f>
        <v>0.8</v>
      </c>
      <c r="AP42" s="144">
        <f>'CZ06 Factors'!T57</f>
        <v>0.8</v>
      </c>
      <c r="AQ42" s="144">
        <f>'CZ06 Factors'!U57</f>
        <v>0.8</v>
      </c>
      <c r="AR42" s="144">
        <f>'CZ06 Factors'!V57</f>
        <v>0.8</v>
      </c>
      <c r="AS42" s="189">
        <f>'CZ06 Factors'!W57</f>
        <v>0.9</v>
      </c>
      <c r="AT42" s="24"/>
      <c r="AU42" s="24"/>
      <c r="AV42" s="24"/>
      <c r="AW42" s="24"/>
      <c r="AX42" s="24"/>
      <c r="AY42" s="24"/>
      <c r="AZ42" s="24"/>
      <c r="BA42" s="24"/>
      <c r="BB42" s="24"/>
      <c r="BC42" s="24"/>
      <c r="BD42" s="24"/>
      <c r="BE42" s="24"/>
      <c r="BF42" s="24"/>
      <c r="BG42" s="24"/>
      <c r="BH42" s="24"/>
      <c r="BI42" s="24"/>
      <c r="BJ42" s="24"/>
      <c r="BK42" s="24"/>
      <c r="BU42" s="24"/>
      <c r="BV42" s="24"/>
      <c r="BW42" s="24"/>
      <c r="BX42" s="24"/>
      <c r="BY42" s="24"/>
      <c r="BZ42" s="24"/>
      <c r="CA42" s="24"/>
      <c r="CB42" s="24"/>
      <c r="CC42" s="24"/>
      <c r="CD42" s="24"/>
      <c r="CE42" s="24"/>
      <c r="CF42" s="24"/>
      <c r="CG42" s="24"/>
      <c r="CH42" s="24"/>
      <c r="CI42" s="24"/>
      <c r="CJ42" s="24"/>
      <c r="CK42" s="24"/>
      <c r="CL42" s="24"/>
      <c r="CM42" s="24"/>
      <c r="CN42" s="24"/>
      <c r="CO42" s="24"/>
    </row>
    <row r="43" spans="1:93" x14ac:dyDescent="0.25">
      <c r="A43" s="24"/>
      <c r="B43" t="e">
        <f ca="1">OFFSET(B$36,$C43,0)</f>
        <v>#DIV/0!</v>
      </c>
      <c r="C43" t="e">
        <f>IF(C42+1&gt;4,4,C42+1)</f>
        <v>#DIV/0!</v>
      </c>
      <c r="D43" s="256" t="e">
        <f ca="1">OFFSET(D$36,$C43,0)</f>
        <v>#DIV/0!</v>
      </c>
      <c r="E43" s="256" t="e">
        <f t="shared" ca="1" si="4"/>
        <v>#DIV/0!</v>
      </c>
      <c r="F43" s="256" t="e">
        <f t="shared" ca="1" si="4"/>
        <v>#DIV/0!</v>
      </c>
      <c r="G43" s="256" t="e">
        <f t="shared" ca="1" si="4"/>
        <v>#DIV/0!</v>
      </c>
      <c r="H43" s="256" t="e">
        <f t="shared" ca="1" si="4"/>
        <v>#DIV/0!</v>
      </c>
      <c r="I43" s="256" t="e">
        <f t="shared" ca="1" si="4"/>
        <v>#DIV/0!</v>
      </c>
      <c r="J43" s="256" t="e">
        <f t="shared" ca="1" si="4"/>
        <v>#DIV/0!</v>
      </c>
      <c r="K43" s="256" t="e">
        <f t="shared" ca="1" si="4"/>
        <v>#DIV/0!</v>
      </c>
      <c r="L43" s="256" t="e">
        <f t="shared" ca="1" si="4"/>
        <v>#DIV/0!</v>
      </c>
      <c r="M43" s="24"/>
      <c r="N43" s="156"/>
      <c r="O43" s="24"/>
      <c r="P43" s="24"/>
      <c r="Q43" s="24"/>
      <c r="R43" s="24"/>
      <c r="S43" s="24"/>
      <c r="T43" s="24"/>
      <c r="U43" s="24"/>
      <c r="V43" s="24"/>
      <c r="W43" s="24"/>
      <c r="X43" s="24"/>
      <c r="Y43" s="24"/>
      <c r="Z43" s="24"/>
      <c r="AA43" s="24"/>
      <c r="AB43" s="24"/>
      <c r="AC43" s="24"/>
      <c r="AD43" s="24"/>
      <c r="AE43" s="24"/>
      <c r="AF43" s="24"/>
      <c r="AG43" s="24"/>
      <c r="AH43" s="24"/>
      <c r="AI43" s="24"/>
      <c r="AJ43" s="24"/>
      <c r="AK43" s="149">
        <v>7</v>
      </c>
      <c r="AL43" s="150">
        <f>'CZ07 Factors'!P59</f>
        <v>1.3</v>
      </c>
      <c r="AM43" s="150">
        <f>'CZ07 Factors'!Q59</f>
        <v>1.1000000000000001</v>
      </c>
      <c r="AN43" s="150">
        <f>'CZ07 Factors'!R59</f>
        <v>0.9</v>
      </c>
      <c r="AO43" s="150">
        <f>'CZ07 Factors'!S59</f>
        <v>0.9</v>
      </c>
      <c r="AP43" s="150">
        <f>'CZ07 Factors'!T59</f>
        <v>0.9</v>
      </c>
      <c r="AQ43" s="150">
        <f>'CZ07 Factors'!U59</f>
        <v>0.9</v>
      </c>
      <c r="AR43" s="150">
        <f>'CZ07 Factors'!V59</f>
        <v>0.9</v>
      </c>
      <c r="AS43" s="153">
        <f>'CZ07 Factors'!W59</f>
        <v>1.1000000000000001</v>
      </c>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row>
    <row r="44" spans="1:93" x14ac:dyDescent="0.25">
      <c r="A44" s="24"/>
      <c r="C44" s="190" t="s">
        <v>236</v>
      </c>
      <c r="D44" s="256" t="e">
        <f ca="1">IF($C41&gt;=$B43,D43,(D42+($C41-$B42)/($B43-$B42)*(D43-D42)))</f>
        <v>#DIV/0!</v>
      </c>
      <c r="E44" s="256" t="e">
        <f t="shared" ref="E44" ca="1" si="5">IF($C41&gt;=$B43,E43,(E42+($C41-$B42)/($B43-$B42)*(E43-E42)))</f>
        <v>#DIV/0!</v>
      </c>
      <c r="F44" s="256" t="e">
        <f t="shared" ref="F44" ca="1" si="6">IF($C41&gt;=$B43,F43,(F42+($C41-$B42)/($B43-$B42)*(F43-F42)))</f>
        <v>#DIV/0!</v>
      </c>
      <c r="G44" s="256" t="e">
        <f t="shared" ref="G44" ca="1" si="7">IF($C41&gt;=$B43,G43,(G42+($C41-$B42)/($B43-$B42)*(G43-G42)))</f>
        <v>#DIV/0!</v>
      </c>
      <c r="H44" s="256" t="e">
        <f t="shared" ref="H44" ca="1" si="8">IF($C41&gt;=$B43,H43,(H42+($C41-$B42)/($B43-$B42)*(H43-H42)))</f>
        <v>#DIV/0!</v>
      </c>
      <c r="I44" s="256" t="e">
        <f t="shared" ref="I44" ca="1" si="9">IF($C41&gt;=$B43,I43,(I42+($C41-$B42)/($B43-$B42)*(I43-I42)))</f>
        <v>#DIV/0!</v>
      </c>
      <c r="J44" s="256" t="e">
        <f t="shared" ref="J44" ca="1" si="10">IF($C41&gt;=$B43,J43,(J42+($C41-$B42)/($B43-$B42)*(J43-J42)))</f>
        <v>#DIV/0!</v>
      </c>
      <c r="K44" s="256" t="e">
        <f t="shared" ref="K44" ca="1" si="11">IF($C41&gt;=$B43,K43,(K42+($C41-$B42)/($B43-$B42)*(K43-K42)))</f>
        <v>#DIV/0!</v>
      </c>
      <c r="L44" s="256" t="e">
        <f t="shared" ref="L44" ca="1" si="12">IF($C41&gt;=$B43,L43,(L42+($C41-$B42)/($B43-$B42)*(L43-L42)))</f>
        <v>#DIV/0!</v>
      </c>
      <c r="M44" s="24"/>
      <c r="N44" s="156"/>
      <c r="O44" s="24"/>
      <c r="P44" s="24"/>
      <c r="Q44" s="24"/>
      <c r="R44" s="24"/>
      <c r="S44" s="24"/>
      <c r="T44" s="24"/>
      <c r="U44" s="24"/>
      <c r="V44" s="24"/>
      <c r="W44" s="24"/>
      <c r="X44" s="24"/>
      <c r="Y44" s="24"/>
      <c r="Z44" s="24"/>
      <c r="AA44" s="24"/>
      <c r="AB44" s="24"/>
      <c r="AC44" s="24"/>
      <c r="AD44" s="24"/>
      <c r="AE44" s="24"/>
      <c r="AF44" s="24"/>
      <c r="AG44" s="24"/>
      <c r="AH44" s="24"/>
      <c r="AI44" s="24"/>
      <c r="AJ44" s="24"/>
      <c r="AK44" s="145">
        <v>8</v>
      </c>
      <c r="AL44" s="146">
        <f>'CZ08 Factors'!P59</f>
        <v>1.2</v>
      </c>
      <c r="AM44" s="146">
        <f>'CZ08 Factors'!Q59</f>
        <v>1</v>
      </c>
      <c r="AN44" s="146">
        <f>'CZ08 Factors'!R59</f>
        <v>0.8</v>
      </c>
      <c r="AO44" s="146">
        <f>'CZ08 Factors'!S59</f>
        <v>0.75</v>
      </c>
      <c r="AP44" s="146">
        <f>'CZ08 Factors'!T59</f>
        <v>0.7</v>
      </c>
      <c r="AQ44" s="146">
        <f>'CZ08 Factors'!U59</f>
        <v>0.75</v>
      </c>
      <c r="AR44" s="146">
        <f>'CZ08 Factors'!V59</f>
        <v>0.8</v>
      </c>
      <c r="AS44" s="154">
        <f>'CZ08 Factors'!W59</f>
        <v>1</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row>
    <row r="45" spans="1:93" ht="15.5" x14ac:dyDescent="0.4">
      <c r="A45" s="24"/>
      <c r="B45" s="161" t="s">
        <v>80</v>
      </c>
      <c r="C45" s="162" t="s">
        <v>378</v>
      </c>
      <c r="D45" s="171">
        <v>1.4850000000000001</v>
      </c>
      <c r="E45" s="172">
        <v>16.547999999999998</v>
      </c>
      <c r="F45" s="172">
        <v>13.177</v>
      </c>
      <c r="G45" s="172">
        <v>7.1360000000000001</v>
      </c>
      <c r="H45" s="172">
        <v>12.118</v>
      </c>
      <c r="I45" s="172"/>
      <c r="J45" s="172">
        <v>5.7759999999999998</v>
      </c>
      <c r="K45" s="172">
        <v>4.9370000000000003</v>
      </c>
      <c r="L45" s="173">
        <v>3.5880000000000001</v>
      </c>
      <c r="M45" s="24"/>
      <c r="N45" s="24"/>
      <c r="O45" s="24"/>
      <c r="P45" s="24"/>
      <c r="Q45" s="155"/>
      <c r="R45" s="155"/>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row>
    <row r="46" spans="1:93" ht="15.5" x14ac:dyDescent="0.4">
      <c r="A46" s="24"/>
      <c r="B46" s="166"/>
      <c r="C46" s="167" t="s">
        <v>379</v>
      </c>
      <c r="D46" s="174">
        <v>6.3E-2</v>
      </c>
      <c r="E46" s="175">
        <v>7.3999999999999996E-2</v>
      </c>
      <c r="F46" s="175">
        <v>6.2E-2</v>
      </c>
      <c r="G46" s="175">
        <v>9.6000000000000002E-2</v>
      </c>
      <c r="H46" s="175">
        <v>0.121</v>
      </c>
      <c r="I46" s="175"/>
      <c r="J46" s="175">
        <v>0.152</v>
      </c>
      <c r="K46" s="175">
        <v>0.187</v>
      </c>
      <c r="L46" s="176">
        <v>0.23200000000000001</v>
      </c>
      <c r="M46" s="24"/>
      <c r="N46" s="24"/>
      <c r="O46" s="24"/>
      <c r="P46" s="24"/>
      <c r="Q46" s="142"/>
      <c r="R46" s="142"/>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row>
    <row r="47" spans="1:93" x14ac:dyDescent="0.25">
      <c r="A47" s="24"/>
      <c r="B47" s="24"/>
      <c r="C47" s="24"/>
      <c r="D47" s="42" t="s">
        <v>273</v>
      </c>
      <c r="E47" s="24"/>
      <c r="F47" s="24"/>
      <c r="G47" s="24"/>
      <c r="H47" s="24"/>
      <c r="I47" s="24"/>
      <c r="J47" s="24"/>
      <c r="K47" s="24"/>
      <c r="L47" s="24"/>
      <c r="M47" s="24"/>
      <c r="N47" s="24"/>
      <c r="O47" s="24"/>
      <c r="P47" s="24"/>
      <c r="Q47" s="142"/>
      <c r="R47" s="142"/>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row>
    <row r="48" spans="1:93" x14ac:dyDescent="0.25">
      <c r="A48" s="24"/>
      <c r="B48" s="24"/>
      <c r="C48" s="24"/>
      <c r="D48" s="24"/>
      <c r="E48" s="24"/>
      <c r="F48" s="24"/>
      <c r="G48" s="24"/>
      <c r="H48" s="24"/>
      <c r="I48" s="24"/>
      <c r="J48" s="24"/>
      <c r="K48" s="24"/>
      <c r="L48" s="24"/>
      <c r="M48" s="24"/>
      <c r="N48" s="24"/>
      <c r="O48" s="24"/>
      <c r="P48" s="24"/>
      <c r="Q48" s="142"/>
      <c r="R48" s="142"/>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row>
    <row r="49" spans="1:93" x14ac:dyDescent="0.25">
      <c r="A49" s="24"/>
      <c r="B49" s="24"/>
      <c r="C49" s="24"/>
      <c r="D49" s="24"/>
      <c r="E49" s="24"/>
      <c r="F49" s="24"/>
      <c r="G49" s="24"/>
      <c r="H49" s="24"/>
      <c r="I49" s="24"/>
      <c r="J49" s="24"/>
      <c r="K49" s="24"/>
      <c r="L49" s="24"/>
      <c r="M49" s="24"/>
      <c r="N49" s="24"/>
      <c r="O49" s="24"/>
      <c r="P49" s="24"/>
      <c r="Q49" s="142"/>
      <c r="R49" s="142"/>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row>
    <row r="50" spans="1:93" x14ac:dyDescent="0.25">
      <c r="A50" s="24"/>
      <c r="B50" s="24"/>
      <c r="C50" s="24"/>
      <c r="D50" s="24"/>
      <c r="E50" s="24"/>
      <c r="F50" s="24"/>
      <c r="G50" s="24"/>
      <c r="H50" s="24"/>
      <c r="I50" s="24"/>
      <c r="J50" s="24"/>
      <c r="K50" s="24"/>
      <c r="L50" s="24"/>
      <c r="M50" s="24"/>
      <c r="N50" s="24"/>
      <c r="O50" s="24"/>
      <c r="P50" s="24"/>
      <c r="Q50" s="142"/>
      <c r="R50" s="142"/>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row>
    <row r="51" spans="1:93" x14ac:dyDescent="0.25">
      <c r="A51" s="24"/>
      <c r="B51" s="24"/>
      <c r="C51" s="24"/>
      <c r="D51" s="24"/>
      <c r="E51" s="24"/>
      <c r="F51" s="24"/>
      <c r="G51" s="24"/>
      <c r="H51" s="24"/>
      <c r="I51" s="24"/>
      <c r="J51" s="24"/>
      <c r="K51" s="24"/>
      <c r="L51" s="24"/>
      <c r="M51" s="24"/>
      <c r="N51" s="24"/>
      <c r="O51" s="24"/>
      <c r="P51" s="24"/>
      <c r="Q51" s="142"/>
      <c r="R51" s="142"/>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row>
    <row r="52" spans="1:93" x14ac:dyDescent="0.25">
      <c r="A52" s="24"/>
      <c r="B52" s="24"/>
      <c r="C52" s="24"/>
      <c r="D52" s="24"/>
      <c r="E52" s="24"/>
      <c r="F52" s="24"/>
      <c r="G52" s="24"/>
      <c r="H52" s="24"/>
      <c r="I52" s="24"/>
      <c r="J52" s="24"/>
      <c r="K52" s="24"/>
      <c r="L52" s="24"/>
      <c r="M52" s="24"/>
      <c r="N52" s="24"/>
      <c r="O52" s="24"/>
      <c r="P52" s="24"/>
      <c r="Q52" s="142"/>
      <c r="R52" s="142"/>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row>
    <row r="53" spans="1:93" x14ac:dyDescent="0.25">
      <c r="A53" s="24"/>
      <c r="B53" s="24"/>
      <c r="C53" s="24"/>
      <c r="D53" s="24"/>
      <c r="E53" s="24"/>
      <c r="F53" s="24"/>
      <c r="G53" s="24"/>
      <c r="H53" s="24"/>
      <c r="I53" s="24"/>
      <c r="J53" s="24"/>
      <c r="K53" s="24"/>
      <c r="L53" s="24"/>
      <c r="M53" s="24"/>
      <c r="N53" s="24"/>
      <c r="O53" s="24"/>
      <c r="P53" s="24"/>
      <c r="Q53" s="142"/>
      <c r="R53" s="142"/>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row>
    <row r="54" spans="1:93" ht="13" x14ac:dyDescent="0.3">
      <c r="A54" s="24"/>
      <c r="B54" s="71" t="s">
        <v>274</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row>
    <row r="55" spans="1:93" ht="13" x14ac:dyDescent="0.3">
      <c r="A55" s="24"/>
      <c r="B55" s="70" t="s">
        <v>275</v>
      </c>
      <c r="C55" s="33"/>
      <c r="D55" s="33"/>
      <c r="E55" s="33"/>
      <c r="F55" s="33"/>
      <c r="G55" s="33"/>
      <c r="H55" s="33"/>
      <c r="I55" s="33"/>
      <c r="J55" s="33"/>
      <c r="K55" s="33"/>
      <c r="L55" s="33"/>
      <c r="M55" s="120" t="e">
        <f>"("&amp;IF(ConstantsSource=#REF!,#REF!,#REF!)&amp;" source selected)"</f>
        <v>#REF!</v>
      </c>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row>
    <row r="56" spans="1:93" ht="13" x14ac:dyDescent="0.3">
      <c r="A56" s="24"/>
      <c r="B56" s="121" t="s">
        <v>276</v>
      </c>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row>
    <row r="57" spans="1:93" x14ac:dyDescent="0.25">
      <c r="A57" s="24"/>
      <c r="B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row>
    <row r="58" spans="1:93" x14ac:dyDescent="0.25">
      <c r="A58" s="24"/>
      <c r="B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row>
    <row r="59" spans="1:93" x14ac:dyDescent="0.25">
      <c r="A59" s="24"/>
      <c r="B59" s="24"/>
      <c r="D59" s="27" t="s">
        <v>277</v>
      </c>
      <c r="E59" s="28" t="s">
        <v>278</v>
      </c>
      <c r="F59" s="28" t="s">
        <v>279</v>
      </c>
      <c r="G59" s="28" t="s">
        <v>280</v>
      </c>
      <c r="H59" s="28" t="s">
        <v>281</v>
      </c>
      <c r="I59" s="28" t="s">
        <v>282</v>
      </c>
      <c r="J59" s="28" t="s">
        <v>283</v>
      </c>
      <c r="K59" s="29" t="s">
        <v>284</v>
      </c>
    </row>
    <row r="60" spans="1:93" x14ac:dyDescent="0.25">
      <c r="A60" s="24"/>
      <c r="B60" s="24"/>
      <c r="D60" s="30" t="s">
        <v>285</v>
      </c>
    </row>
    <row r="61" spans="1:93" ht="13" x14ac:dyDescent="0.3">
      <c r="A61" s="24"/>
      <c r="B61" s="24"/>
      <c r="D61" s="121" t="s">
        <v>286</v>
      </c>
    </row>
    <row r="62" spans="1:93" ht="13" x14ac:dyDescent="0.3">
      <c r="A62" s="24"/>
      <c r="B62" s="24"/>
      <c r="D62" s="121"/>
    </row>
    <row r="63" spans="1:93" ht="13" x14ac:dyDescent="0.3">
      <c r="A63" s="24"/>
      <c r="B63" s="178" t="s">
        <v>312</v>
      </c>
      <c r="C63" s="179"/>
      <c r="D63" s="179"/>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row>
    <row r="64" spans="1:93" ht="15.5" x14ac:dyDescent="0.35">
      <c r="A64" s="24"/>
      <c r="B64" s="69" t="s">
        <v>287</v>
      </c>
      <c r="C64" s="31" t="s">
        <v>288</v>
      </c>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row>
    <row r="65" spans="1:93" ht="13" x14ac:dyDescent="0.3">
      <c r="A65" s="24"/>
      <c r="B65" s="24"/>
      <c r="C65" s="26" t="s">
        <v>289</v>
      </c>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row>
    <row r="66" spans="1:93"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row>
    <row r="67" spans="1:93" ht="13" x14ac:dyDescent="0.3">
      <c r="A67" s="24"/>
      <c r="B67" s="24"/>
      <c r="C67" s="1" t="s">
        <v>290</v>
      </c>
      <c r="L67" s="24"/>
      <c r="M67" s="1" t="s">
        <v>291</v>
      </c>
      <c r="W67" s="1" t="s">
        <v>292</v>
      </c>
      <c r="AH67" s="1" t="s">
        <v>293</v>
      </c>
      <c r="AR67" s="1" t="s">
        <v>294</v>
      </c>
      <c r="BB67" s="1" t="s">
        <v>294</v>
      </c>
      <c r="BL67" s="1" t="s">
        <v>295</v>
      </c>
      <c r="BV67" s="1" t="s">
        <v>296</v>
      </c>
      <c r="CF67" s="1" t="s">
        <v>297</v>
      </c>
      <c r="CG67" s="33"/>
      <c r="CH67" s="33"/>
      <c r="CI67" s="33"/>
      <c r="CJ67" s="33"/>
      <c r="CK67" s="33"/>
      <c r="CL67" s="33"/>
      <c r="CM67" s="33"/>
      <c r="CN67" s="33"/>
    </row>
    <row r="68" spans="1:93" ht="13" x14ac:dyDescent="0.3">
      <c r="A68" s="24"/>
      <c r="B68" s="24"/>
      <c r="C68" s="122" t="s">
        <v>298</v>
      </c>
      <c r="M68" s="122" t="s">
        <v>299</v>
      </c>
      <c r="W68" s="122" t="s">
        <v>300</v>
      </c>
      <c r="AH68" s="122" t="s">
        <v>390</v>
      </c>
      <c r="AR68" s="122" t="s">
        <v>391</v>
      </c>
      <c r="BB68" s="122" t="s">
        <v>395</v>
      </c>
      <c r="BC68" s="26" t="s">
        <v>392</v>
      </c>
      <c r="BL68" s="122" t="s">
        <v>301</v>
      </c>
      <c r="BV68" s="122" t="s">
        <v>302</v>
      </c>
      <c r="CF68" s="122" t="s">
        <v>396</v>
      </c>
      <c r="CG68" s="33"/>
      <c r="CH68" s="33"/>
      <c r="CI68" s="33"/>
      <c r="CJ68" s="33"/>
      <c r="CK68" s="33"/>
      <c r="CL68" s="33"/>
      <c r="CM68" s="33"/>
      <c r="CN68" s="33"/>
    </row>
    <row r="69" spans="1:93" x14ac:dyDescent="0.25">
      <c r="A69" s="24"/>
      <c r="B69" s="24"/>
      <c r="C69" s="123"/>
      <c r="D69" s="46" t="s">
        <v>277</v>
      </c>
      <c r="E69" s="44" t="s">
        <v>278</v>
      </c>
      <c r="F69" s="44" t="s">
        <v>279</v>
      </c>
      <c r="G69" s="44" t="s">
        <v>280</v>
      </c>
      <c r="H69" s="44" t="s">
        <v>281</v>
      </c>
      <c r="I69" s="44" t="s">
        <v>282</v>
      </c>
      <c r="J69" s="44" t="s">
        <v>283</v>
      </c>
      <c r="K69" s="45" t="s">
        <v>284</v>
      </c>
      <c r="L69" s="24"/>
      <c r="M69" s="123"/>
      <c r="N69" s="46" t="s">
        <v>277</v>
      </c>
      <c r="O69" s="44" t="s">
        <v>278</v>
      </c>
      <c r="P69" s="44" t="s">
        <v>279</v>
      </c>
      <c r="Q69" s="44" t="s">
        <v>280</v>
      </c>
      <c r="R69" s="44" t="s">
        <v>281</v>
      </c>
      <c r="S69" s="44" t="s">
        <v>282</v>
      </c>
      <c r="T69" s="44" t="s">
        <v>283</v>
      </c>
      <c r="U69" s="45" t="s">
        <v>284</v>
      </c>
      <c r="V69" s="24"/>
      <c r="W69" s="123"/>
      <c r="X69" s="46" t="s">
        <v>277</v>
      </c>
      <c r="Y69" s="44" t="s">
        <v>278</v>
      </c>
      <c r="Z69" s="44" t="s">
        <v>279</v>
      </c>
      <c r="AA69" s="44" t="s">
        <v>280</v>
      </c>
      <c r="AB69" s="44" t="s">
        <v>281</v>
      </c>
      <c r="AC69" s="44" t="s">
        <v>282</v>
      </c>
      <c r="AD69" s="44" t="s">
        <v>283</v>
      </c>
      <c r="AE69" s="45" t="s">
        <v>284</v>
      </c>
      <c r="AF69" s="24"/>
      <c r="AG69" s="123"/>
      <c r="AH69" s="46" t="s">
        <v>277</v>
      </c>
      <c r="AI69" s="44" t="s">
        <v>278</v>
      </c>
      <c r="AJ69" s="44" t="s">
        <v>279</v>
      </c>
      <c r="AK69" s="44" t="s">
        <v>280</v>
      </c>
      <c r="AL69" s="44" t="s">
        <v>281</v>
      </c>
      <c r="AM69" s="44" t="s">
        <v>282</v>
      </c>
      <c r="AN69" s="44" t="s">
        <v>283</v>
      </c>
      <c r="AO69" s="45" t="s">
        <v>284</v>
      </c>
      <c r="AP69" s="24"/>
      <c r="AQ69" s="123"/>
      <c r="AR69" s="46" t="s">
        <v>277</v>
      </c>
      <c r="AS69" s="44" t="s">
        <v>278</v>
      </c>
      <c r="AT69" s="44" t="s">
        <v>279</v>
      </c>
      <c r="AU69" s="44" t="s">
        <v>280</v>
      </c>
      <c r="AV69" s="44" t="s">
        <v>281</v>
      </c>
      <c r="AW69" s="44" t="s">
        <v>282</v>
      </c>
      <c r="AX69" s="44" t="s">
        <v>283</v>
      </c>
      <c r="AY69" s="45" t="s">
        <v>284</v>
      </c>
      <c r="AZ69" s="200"/>
      <c r="BA69" s="123"/>
      <c r="BB69" s="46" t="s">
        <v>277</v>
      </c>
      <c r="BC69" s="44" t="s">
        <v>278</v>
      </c>
      <c r="BD69" s="44" t="s">
        <v>279</v>
      </c>
      <c r="BE69" s="44" t="s">
        <v>280</v>
      </c>
      <c r="BF69" s="44" t="s">
        <v>281</v>
      </c>
      <c r="BG69" s="44" t="s">
        <v>282</v>
      </c>
      <c r="BH69" s="44" t="s">
        <v>283</v>
      </c>
      <c r="BI69" s="45" t="s">
        <v>284</v>
      </c>
      <c r="BJ69" s="24"/>
      <c r="BK69" s="123"/>
      <c r="BL69" s="46" t="s">
        <v>277</v>
      </c>
      <c r="BM69" s="44" t="s">
        <v>278</v>
      </c>
      <c r="BN69" s="44" t="s">
        <v>279</v>
      </c>
      <c r="BO69" s="44" t="s">
        <v>280</v>
      </c>
      <c r="BP69" s="44" t="s">
        <v>281</v>
      </c>
      <c r="BQ69" s="44" t="s">
        <v>282</v>
      </c>
      <c r="BR69" s="44" t="s">
        <v>283</v>
      </c>
      <c r="BS69" s="45" t="s">
        <v>284</v>
      </c>
      <c r="BT69" s="24"/>
      <c r="BU69" s="123"/>
      <c r="BV69" s="46" t="s">
        <v>277</v>
      </c>
      <c r="BW69" s="44" t="s">
        <v>278</v>
      </c>
      <c r="BX69" s="44" t="s">
        <v>279</v>
      </c>
      <c r="BY69" s="44" t="s">
        <v>280</v>
      </c>
      <c r="BZ69" s="44" t="s">
        <v>281</v>
      </c>
      <c r="CA69" s="44" t="s">
        <v>282</v>
      </c>
      <c r="CB69" s="44" t="s">
        <v>283</v>
      </c>
      <c r="CC69" s="45" t="s">
        <v>284</v>
      </c>
      <c r="CD69" s="24"/>
      <c r="CE69" s="123"/>
      <c r="CF69" s="46" t="s">
        <v>277</v>
      </c>
      <c r="CG69" s="44" t="s">
        <v>278</v>
      </c>
      <c r="CH69" s="44" t="s">
        <v>279</v>
      </c>
      <c r="CI69" s="44" t="s">
        <v>280</v>
      </c>
      <c r="CJ69" s="44" t="s">
        <v>281</v>
      </c>
      <c r="CK69" s="44" t="s">
        <v>282</v>
      </c>
      <c r="CL69" s="44" t="s">
        <v>283</v>
      </c>
      <c r="CM69" s="45" t="s">
        <v>284</v>
      </c>
    </row>
    <row r="70" spans="1:93" x14ac:dyDescent="0.25">
      <c r="A70" s="24"/>
      <c r="B70" s="34" t="s">
        <v>303</v>
      </c>
      <c r="C70" s="47" t="s">
        <v>304</v>
      </c>
      <c r="D70" s="124">
        <v>0</v>
      </c>
      <c r="E70" s="125">
        <v>45</v>
      </c>
      <c r="F70" s="126">
        <v>90</v>
      </c>
      <c r="G70" s="125">
        <v>135</v>
      </c>
      <c r="H70" s="126">
        <v>180</v>
      </c>
      <c r="I70" s="125">
        <v>225</v>
      </c>
      <c r="J70" s="126">
        <v>270</v>
      </c>
      <c r="K70" s="127">
        <v>315</v>
      </c>
      <c r="M70" s="47" t="s">
        <v>304</v>
      </c>
      <c r="N70" s="124">
        <v>0</v>
      </c>
      <c r="O70" s="125">
        <v>45</v>
      </c>
      <c r="P70" s="126">
        <v>90</v>
      </c>
      <c r="Q70" s="125">
        <v>135</v>
      </c>
      <c r="R70" s="126">
        <v>180</v>
      </c>
      <c r="S70" s="125">
        <v>225</v>
      </c>
      <c r="T70" s="126">
        <v>270</v>
      </c>
      <c r="U70" s="127">
        <v>315</v>
      </c>
      <c r="W70" s="47" t="s">
        <v>304</v>
      </c>
      <c r="X70" s="124">
        <v>0</v>
      </c>
      <c r="Y70" s="125">
        <v>45</v>
      </c>
      <c r="Z70" s="126">
        <v>90</v>
      </c>
      <c r="AA70" s="125">
        <v>135</v>
      </c>
      <c r="AB70" s="126">
        <v>180</v>
      </c>
      <c r="AC70" s="125">
        <v>225</v>
      </c>
      <c r="AD70" s="126">
        <v>270</v>
      </c>
      <c r="AE70" s="127">
        <v>315</v>
      </c>
      <c r="AG70" s="47" t="s">
        <v>304</v>
      </c>
      <c r="AH70" s="124">
        <v>0</v>
      </c>
      <c r="AI70" s="125">
        <v>45</v>
      </c>
      <c r="AJ70" s="126">
        <v>90</v>
      </c>
      <c r="AK70" s="125">
        <v>135</v>
      </c>
      <c r="AL70" s="126">
        <v>180</v>
      </c>
      <c r="AM70" s="125">
        <v>225</v>
      </c>
      <c r="AN70" s="126">
        <v>270</v>
      </c>
      <c r="AO70" s="127">
        <v>315</v>
      </c>
      <c r="AQ70" s="47" t="s">
        <v>304</v>
      </c>
      <c r="AR70" s="124">
        <v>0</v>
      </c>
      <c r="AS70" s="125">
        <v>45</v>
      </c>
      <c r="AT70" s="126">
        <v>90</v>
      </c>
      <c r="AU70" s="125">
        <v>135</v>
      </c>
      <c r="AV70" s="126">
        <v>180</v>
      </c>
      <c r="AW70" s="125">
        <v>225</v>
      </c>
      <c r="AX70" s="126">
        <v>270</v>
      </c>
      <c r="AY70" s="127">
        <v>315</v>
      </c>
      <c r="AZ70" s="201"/>
      <c r="BA70" s="47" t="s">
        <v>304</v>
      </c>
      <c r="BB70" s="124">
        <v>0</v>
      </c>
      <c r="BC70" s="125">
        <v>45</v>
      </c>
      <c r="BD70" s="126">
        <v>90</v>
      </c>
      <c r="BE70" s="125">
        <v>135</v>
      </c>
      <c r="BF70" s="126">
        <v>180</v>
      </c>
      <c r="BG70" s="125">
        <v>225</v>
      </c>
      <c r="BH70" s="126">
        <v>270</v>
      </c>
      <c r="BI70" s="127">
        <v>315</v>
      </c>
      <c r="BK70" s="47" t="s">
        <v>304</v>
      </c>
      <c r="BL70" s="124">
        <v>0</v>
      </c>
      <c r="BM70" s="125">
        <v>45</v>
      </c>
      <c r="BN70" s="126">
        <v>90</v>
      </c>
      <c r="BO70" s="125">
        <v>135</v>
      </c>
      <c r="BP70" s="126">
        <v>180</v>
      </c>
      <c r="BQ70" s="125">
        <v>225</v>
      </c>
      <c r="BR70" s="126">
        <v>270</v>
      </c>
      <c r="BS70" s="127">
        <v>315</v>
      </c>
      <c r="BU70" s="47" t="s">
        <v>304</v>
      </c>
      <c r="BV70" s="124">
        <v>0</v>
      </c>
      <c r="BW70" s="125">
        <v>45</v>
      </c>
      <c r="BX70" s="126">
        <v>90</v>
      </c>
      <c r="BY70" s="125">
        <v>135</v>
      </c>
      <c r="BZ70" s="126">
        <v>180</v>
      </c>
      <c r="CA70" s="125">
        <v>225</v>
      </c>
      <c r="CB70" s="126">
        <v>270</v>
      </c>
      <c r="CC70" s="127">
        <v>315</v>
      </c>
      <c r="CE70" s="47" t="s">
        <v>304</v>
      </c>
      <c r="CF70" s="124">
        <v>0</v>
      </c>
      <c r="CG70" s="125">
        <v>45</v>
      </c>
      <c r="CH70" s="126">
        <v>90</v>
      </c>
      <c r="CI70" s="125">
        <v>135</v>
      </c>
      <c r="CJ70" s="126">
        <v>180</v>
      </c>
      <c r="CK70" s="125">
        <v>225</v>
      </c>
      <c r="CL70" s="126">
        <v>270</v>
      </c>
      <c r="CM70" s="127">
        <v>315</v>
      </c>
    </row>
    <row r="71" spans="1:93" ht="13" x14ac:dyDescent="0.3">
      <c r="A71" s="24"/>
      <c r="B71" s="66">
        <f t="shared" ref="B71:B83" si="13">B$86*C71</f>
        <v>0</v>
      </c>
      <c r="C71" s="63">
        <v>0</v>
      </c>
      <c r="D71" s="51">
        <f>'CZ01 Factors'!D3</f>
        <v>1.3520000000000001</v>
      </c>
      <c r="E71" s="61">
        <f>'CZ01 Factors'!E3</f>
        <v>1.6421999999999999</v>
      </c>
      <c r="F71" s="52">
        <f>'CZ01 Factors'!F3</f>
        <v>1.6899000000000002</v>
      </c>
      <c r="G71" s="61">
        <f>'CZ01 Factors'!G3</f>
        <v>1.6182000000000001</v>
      </c>
      <c r="H71" s="52">
        <f>'CZ01 Factors'!H3</f>
        <v>1.131</v>
      </c>
      <c r="I71" s="61">
        <f>'CZ01 Factors'!I3</f>
        <v>1.651</v>
      </c>
      <c r="J71" s="52">
        <f>'CZ01 Factors'!J3</f>
        <v>1.7160000000000002</v>
      </c>
      <c r="K71" s="62">
        <f>'CZ01 Factors'!K3</f>
        <v>1.6575000000000002</v>
      </c>
      <c r="M71" s="57">
        <v>0</v>
      </c>
      <c r="N71" s="51">
        <f>'CZ02 Factors'!D3</f>
        <v>0.59039999999999992</v>
      </c>
      <c r="O71" s="61">
        <f>'CZ02 Factors'!E3</f>
        <v>1.0762499999999999</v>
      </c>
      <c r="P71" s="52">
        <f>'CZ02 Factors'!F3</f>
        <v>1.5005999999999999</v>
      </c>
      <c r="Q71" s="61">
        <f>'CZ02 Factors'!G3</f>
        <v>0.92560000000000009</v>
      </c>
      <c r="R71" s="52">
        <f>'CZ02 Factors'!H3</f>
        <v>0.39600000000000002</v>
      </c>
      <c r="S71" s="61">
        <f>'CZ02 Factors'!I3</f>
        <v>1.0528000000000002</v>
      </c>
      <c r="T71" s="52">
        <f>'CZ02 Factors'!J3</f>
        <v>1.7822000000000002</v>
      </c>
      <c r="U71" s="62">
        <f>'CZ02 Factors'!K3</f>
        <v>1.1932500000000001</v>
      </c>
      <c r="W71" s="57">
        <v>0</v>
      </c>
      <c r="X71" s="51">
        <f>'CZ03 Factors'!D3</f>
        <v>0.95200000000000007</v>
      </c>
      <c r="Y71" s="61">
        <f>'CZ03 Factors'!E3</f>
        <v>1.508</v>
      </c>
      <c r="Z71" s="52">
        <f>'CZ03 Factors'!F3</f>
        <v>1.704</v>
      </c>
      <c r="AA71" s="61">
        <f>'CZ03 Factors'!G3</f>
        <v>1.5339999999999998</v>
      </c>
      <c r="AB71" s="52">
        <f>'CZ03 Factors'!H3</f>
        <v>0.92399999999999993</v>
      </c>
      <c r="AC71" s="61">
        <f>'CZ03 Factors'!I3</f>
        <v>1.4499999999999997</v>
      </c>
      <c r="AD71" s="52">
        <f>'CZ03 Factors'!J3</f>
        <v>1.4960000000000002</v>
      </c>
      <c r="AE71" s="62">
        <f>'CZ03 Factors'!K3</f>
        <v>1.4139999999999999</v>
      </c>
      <c r="AG71" s="57">
        <v>0</v>
      </c>
      <c r="AH71" s="51">
        <f>'CZ04 Factors'!D3</f>
        <v>0.82799999999999996</v>
      </c>
      <c r="AI71" s="61">
        <f>'CZ04 Factors'!E3</f>
        <v>1.1304999999999998</v>
      </c>
      <c r="AJ71" s="52">
        <f>'CZ04 Factors'!F3</f>
        <v>1.0499999999999998</v>
      </c>
      <c r="AK71" s="61">
        <f>'CZ04 Factors'!G3</f>
        <v>0.6825</v>
      </c>
      <c r="AL71" s="52">
        <f>'CZ04 Factors'!H3</f>
        <v>0.3135</v>
      </c>
      <c r="AM71" s="61">
        <f>'CZ04 Factors'!I3</f>
        <v>0.98999999999999988</v>
      </c>
      <c r="AN71" s="52">
        <f>'CZ04 Factors'!J3</f>
        <v>1.8995</v>
      </c>
      <c r="AO71" s="62">
        <f>'CZ04 Factors'!K3</f>
        <v>1.456</v>
      </c>
      <c r="AQ71" s="57">
        <v>0</v>
      </c>
      <c r="AR71" s="51">
        <f>'CZ05 Factors'!D3</f>
        <v>0.61499999999999999</v>
      </c>
      <c r="AS71" s="61">
        <f>'CZ05 Factors'!E3</f>
        <v>0.79025000000000001</v>
      </c>
      <c r="AT71" s="52">
        <f>'CZ05 Factors'!F3</f>
        <v>0.83299999999999996</v>
      </c>
      <c r="AU71" s="61">
        <f>'CZ05 Factors'!G3</f>
        <v>0.67199999999999993</v>
      </c>
      <c r="AV71" s="52">
        <f>'CZ05 Factors'!H3</f>
        <v>0.47599999999999998</v>
      </c>
      <c r="AW71" s="61">
        <f>'CZ05 Factors'!I3</f>
        <v>1.04</v>
      </c>
      <c r="AX71" s="52">
        <f>'CZ05 Factors'!J3</f>
        <v>1.6900000000000002</v>
      </c>
      <c r="AY71" s="62">
        <f>'CZ05 Factors'!K3</f>
        <v>1.1890000000000001</v>
      </c>
      <c r="AZ71" s="202"/>
      <c r="BA71" s="57">
        <v>0</v>
      </c>
      <c r="BB71" s="51">
        <f>'CZ05 BC Factors'!D3</f>
        <v>0.98399999999999987</v>
      </c>
      <c r="BC71" s="61">
        <f>'CZ05 BC Factors'!E3</f>
        <v>1.1444999999999999</v>
      </c>
      <c r="BD71" s="52">
        <f>'CZ05 BC Factors'!F3</f>
        <v>1.071</v>
      </c>
      <c r="BE71" s="61">
        <f>'CZ05 BC Factors'!G3</f>
        <v>0.6</v>
      </c>
      <c r="BF71" s="52">
        <f>'CZ05 BC Factors'!H3</f>
        <v>0.23799999999999999</v>
      </c>
      <c r="BG71" s="61">
        <f>'CZ05 BC Factors'!I3</f>
        <v>0.77999999999999992</v>
      </c>
      <c r="BH71" s="52">
        <f>'CZ05 BC Factors'!J3</f>
        <v>1.4949999999999999</v>
      </c>
      <c r="BI71" s="62">
        <f>'CZ05 BC Factors'!K3</f>
        <v>1.3629999999999998</v>
      </c>
      <c r="BK71" s="57">
        <v>0</v>
      </c>
      <c r="BL71" s="51">
        <f>'CZ06 Factors'!D3</f>
        <v>1.008</v>
      </c>
      <c r="BM71" s="61">
        <f>'CZ06 Factors'!E3</f>
        <v>1.1880000000000002</v>
      </c>
      <c r="BN71" s="52">
        <f>'CZ06 Factors'!F3</f>
        <v>1.1499999999999999</v>
      </c>
      <c r="BO71" s="61">
        <f>'CZ06 Factors'!G3</f>
        <v>0.78299999999999992</v>
      </c>
      <c r="BP71" s="52">
        <f>'CZ06 Factors'!H3</f>
        <v>0.48799999999999999</v>
      </c>
      <c r="BQ71" s="61">
        <f>'CZ06 Factors'!I3</f>
        <v>1.1025</v>
      </c>
      <c r="BR71" s="52">
        <f>'CZ06 Factors'!J3</f>
        <v>1.8199999999999998</v>
      </c>
      <c r="BS71" s="62">
        <f>'CZ06 Factors'!K3</f>
        <v>1.55</v>
      </c>
      <c r="BU71" s="57">
        <v>0</v>
      </c>
      <c r="BV71" s="51">
        <f>'CZ07 Factors'!D3</f>
        <v>1.056</v>
      </c>
      <c r="BW71" s="61">
        <f>'CZ07 Factors'!E3</f>
        <v>1.2987000000000002</v>
      </c>
      <c r="BX71" s="52">
        <f>'CZ07 Factors'!F3</f>
        <v>1.3552000000000002</v>
      </c>
      <c r="BY71" s="61">
        <f>'CZ07 Factors'!G3</f>
        <v>1.0904</v>
      </c>
      <c r="BZ71" s="52">
        <f>'CZ07 Factors'!H3</f>
        <v>0.76800000000000002</v>
      </c>
      <c r="CA71" s="61">
        <f>'CZ07 Factors'!I3</f>
        <v>1.1147499999999999</v>
      </c>
      <c r="CB71" s="52">
        <f>'CZ07 Factors'!J3</f>
        <v>1.4874999999999998</v>
      </c>
      <c r="CC71" s="62">
        <f>'CZ07 Factors'!K3</f>
        <v>1.3864999999999998</v>
      </c>
      <c r="CE71" s="57">
        <v>0</v>
      </c>
      <c r="CF71" s="51">
        <f>'CZ08 Factors'!D3</f>
        <v>1.02</v>
      </c>
      <c r="CG71" s="61">
        <f>'CZ08 Factors'!E3</f>
        <v>1.6800000000000004</v>
      </c>
      <c r="CH71" s="52">
        <f>'CZ08 Factors'!F3</f>
        <v>2.16</v>
      </c>
      <c r="CI71" s="61">
        <f>'CZ08 Factors'!G3</f>
        <v>1.3920000000000001</v>
      </c>
      <c r="CJ71" s="52">
        <f>'CZ08 Factors'!H3</f>
        <v>0.74800000000000011</v>
      </c>
      <c r="CK71" s="61">
        <f>'CZ08 Factors'!I3</f>
        <v>2.121</v>
      </c>
      <c r="CL71" s="52">
        <f>'CZ08 Factors'!J3</f>
        <v>3.9370000000000003</v>
      </c>
      <c r="CM71" s="62">
        <f>'CZ08 Factors'!K3</f>
        <v>2.4940000000000002</v>
      </c>
    </row>
    <row r="72" spans="1:93" x14ac:dyDescent="0.25">
      <c r="A72" s="24"/>
      <c r="B72" s="66">
        <f t="shared" si="13"/>
        <v>105</v>
      </c>
      <c r="C72" s="128">
        <v>0.05</v>
      </c>
      <c r="D72" s="89">
        <f>'CZ01 Factors'!D4</f>
        <v>1.1440000000000001</v>
      </c>
      <c r="E72" s="90">
        <f>'CZ01 Factors'!E4</f>
        <v>1.4466999999999999</v>
      </c>
      <c r="F72" s="91">
        <f>'CZ01 Factors'!F4</f>
        <v>1.5589000000000002</v>
      </c>
      <c r="G72" s="90">
        <f>'CZ01 Factors'!G4</f>
        <v>1.47465</v>
      </c>
      <c r="H72" s="91">
        <f>'CZ01 Factors'!H4</f>
        <v>0.97500000000000009</v>
      </c>
      <c r="I72" s="90">
        <f>'CZ01 Factors'!I4</f>
        <v>1.5209999999999999</v>
      </c>
      <c r="J72" s="91">
        <f>'CZ01 Factors'!J4</f>
        <v>1.5990000000000002</v>
      </c>
      <c r="K72" s="92">
        <f>'CZ01 Factors'!K4</f>
        <v>1.4625000000000001</v>
      </c>
      <c r="M72" s="129">
        <v>0.05</v>
      </c>
      <c r="N72" s="89">
        <f>'CZ02 Factors'!D4</f>
        <v>0.49199999999999994</v>
      </c>
      <c r="O72" s="90">
        <f>'CZ02 Factors'!E4</f>
        <v>0.94299999999999995</v>
      </c>
      <c r="P72" s="91">
        <f>'CZ02 Factors'!F4</f>
        <v>1.3530000000000002</v>
      </c>
      <c r="Q72" s="90">
        <f>'CZ02 Factors'!G4</f>
        <v>0.81880000000000008</v>
      </c>
      <c r="R72" s="91">
        <f>'CZ02 Factors'!H4</f>
        <v>0.33</v>
      </c>
      <c r="S72" s="90">
        <f>'CZ02 Factors'!I4</f>
        <v>0.94940000000000002</v>
      </c>
      <c r="T72" s="91">
        <f>'CZ02 Factors'!J4</f>
        <v>1.6359000000000001</v>
      </c>
      <c r="U72" s="92">
        <f>'CZ02 Factors'!K4</f>
        <v>1.0642499999999999</v>
      </c>
      <c r="W72" s="129">
        <v>0.05</v>
      </c>
      <c r="X72" s="89">
        <f>'CZ03 Factors'!D4</f>
        <v>0.79899999999999993</v>
      </c>
      <c r="Y72" s="90">
        <f>'CZ03 Factors'!E4</f>
        <v>1.3629999999999998</v>
      </c>
      <c r="Z72" s="91">
        <f>'CZ03 Factors'!F4</f>
        <v>1.5840000000000001</v>
      </c>
      <c r="AA72" s="90">
        <f>'CZ03 Factors'!G4</f>
        <v>1.4039999999999999</v>
      </c>
      <c r="AB72" s="91">
        <f>'CZ03 Factors'!H4</f>
        <v>0.79799999999999982</v>
      </c>
      <c r="AC72" s="90">
        <f>'CZ03 Factors'!I4</f>
        <v>1.3124999999999998</v>
      </c>
      <c r="AD72" s="91">
        <f>'CZ03 Factors'!J4</f>
        <v>1.3860000000000001</v>
      </c>
      <c r="AE72" s="92">
        <f>'CZ03 Factors'!K4</f>
        <v>1.26</v>
      </c>
      <c r="AG72" s="129">
        <v>0.05</v>
      </c>
      <c r="AH72" s="89">
        <f>'CZ04 Factors'!D4</f>
        <v>0.7014999999999999</v>
      </c>
      <c r="AI72" s="90">
        <f>'CZ04 Factors'!E4</f>
        <v>1.0449999999999999</v>
      </c>
      <c r="AJ72" s="91">
        <f>'CZ04 Factors'!F4</f>
        <v>0.98249999999999993</v>
      </c>
      <c r="AK72" s="90">
        <f>'CZ04 Factors'!G4</f>
        <v>0.63049999999999995</v>
      </c>
      <c r="AL72" s="91">
        <f>'CZ04 Factors'!H4</f>
        <v>0.26950000000000002</v>
      </c>
      <c r="AM72" s="90">
        <f>'CZ04 Factors'!I4</f>
        <v>0.90999999999999992</v>
      </c>
      <c r="AN72" s="91">
        <f>'CZ04 Factors'!J4</f>
        <v>1.7689999999999999</v>
      </c>
      <c r="AO72" s="92">
        <f>'CZ04 Factors'!K4</f>
        <v>1.3259999999999998</v>
      </c>
      <c r="AQ72" s="129">
        <v>0.05</v>
      </c>
      <c r="AR72" s="89">
        <f>'CZ05 Factors'!D4</f>
        <v>0.51749999999999996</v>
      </c>
      <c r="AS72" s="90">
        <f>'CZ05 Factors'!E4</f>
        <v>0.69599999999999995</v>
      </c>
      <c r="AT72" s="91">
        <f>'CZ05 Factors'!F4</f>
        <v>0.74900000000000011</v>
      </c>
      <c r="AU72" s="90">
        <f>'CZ05 Factors'!G4</f>
        <v>0.59499999999999986</v>
      </c>
      <c r="AV72" s="91">
        <f>'CZ05 Factors'!H4</f>
        <v>0.39899999999999997</v>
      </c>
      <c r="AW72" s="90">
        <f>'CZ05 Factors'!I4</f>
        <v>0.92</v>
      </c>
      <c r="AX72" s="91">
        <f>'CZ05 Factors'!J4</f>
        <v>1.5470000000000002</v>
      </c>
      <c r="AY72" s="92">
        <f>'CZ05 Factors'!K4</f>
        <v>1.0660000000000003</v>
      </c>
      <c r="AZ72" s="203"/>
      <c r="BA72" s="129">
        <v>0.05</v>
      </c>
      <c r="BB72" s="89">
        <f>'CZ05 BC Factors'!D4</f>
        <v>0.82799999999999985</v>
      </c>
      <c r="BC72" s="90">
        <f>'CZ05 BC Factors'!E4</f>
        <v>1.0079999999999998</v>
      </c>
      <c r="BD72" s="91">
        <f>'CZ05 BC Factors'!F4</f>
        <v>0.96300000000000008</v>
      </c>
      <c r="BE72" s="90">
        <f>'CZ05 BC Factors'!G4</f>
        <v>0.53125</v>
      </c>
      <c r="BF72" s="91">
        <f>'CZ05 BC Factors'!H4</f>
        <v>0.19949999999999998</v>
      </c>
      <c r="BG72" s="90">
        <f>'CZ05 BC Factors'!I4</f>
        <v>0.69</v>
      </c>
      <c r="BH72" s="91">
        <f>'CZ05 BC Factors'!J4</f>
        <v>1.3684999999999998</v>
      </c>
      <c r="BI72" s="92">
        <f>'CZ05 BC Factors'!K4</f>
        <v>1.222</v>
      </c>
      <c r="BK72" s="129">
        <v>0.05</v>
      </c>
      <c r="BL72" s="89">
        <f>'CZ06 Factors'!D4</f>
        <v>0.85199999999999998</v>
      </c>
      <c r="BM72" s="90">
        <f>'CZ06 Factors'!E4</f>
        <v>1.0669999999999999</v>
      </c>
      <c r="BN72" s="91">
        <f>'CZ06 Factors'!F4</f>
        <v>1.05</v>
      </c>
      <c r="BO72" s="90">
        <f>'CZ06 Factors'!G4</f>
        <v>0.70199999999999996</v>
      </c>
      <c r="BP72" s="91">
        <f>'CZ06 Factors'!H4</f>
        <v>0.41600000000000004</v>
      </c>
      <c r="BQ72" s="90">
        <f>'CZ06 Factors'!I4</f>
        <v>1.008</v>
      </c>
      <c r="BR72" s="91">
        <f>'CZ06 Factors'!J4</f>
        <v>1.6900000000000002</v>
      </c>
      <c r="BS72" s="92">
        <f>'CZ06 Factors'!K4</f>
        <v>1.4125000000000001</v>
      </c>
      <c r="BU72" s="129">
        <v>0.05</v>
      </c>
      <c r="BV72" s="89">
        <f>'CZ07 Factors'!D4</f>
        <v>0.91300000000000003</v>
      </c>
      <c r="BW72" s="90">
        <f>'CZ07 Factors'!E4</f>
        <v>1.1655000000000004</v>
      </c>
      <c r="BX72" s="91">
        <f>'CZ07 Factors'!F4</f>
        <v>1.2320000000000002</v>
      </c>
      <c r="BY72" s="90">
        <f>'CZ07 Factors'!G4</f>
        <v>0.96279999999999999</v>
      </c>
      <c r="BZ72" s="91">
        <f>'CZ07 Factors'!H4</f>
        <v>0.64800000000000002</v>
      </c>
      <c r="CA72" s="90">
        <f>'CZ07 Factors'!I4</f>
        <v>0.99224999999999997</v>
      </c>
      <c r="CB72" s="91">
        <f>'CZ07 Factors'!J4</f>
        <v>1.3625</v>
      </c>
      <c r="CC72" s="92">
        <f>'CZ07 Factors'!K4</f>
        <v>1.25725</v>
      </c>
      <c r="CE72" s="129">
        <v>0.05</v>
      </c>
      <c r="CF72" s="89">
        <f>'CZ08 Factors'!D4</f>
        <v>0.85200000000000009</v>
      </c>
      <c r="CG72" s="90">
        <f>'CZ08 Factors'!E4</f>
        <v>1.4850000000000001</v>
      </c>
      <c r="CH72" s="91">
        <f>'CZ08 Factors'!F4</f>
        <v>1.9620000000000004</v>
      </c>
      <c r="CI72" s="90">
        <f>'CZ08 Factors'!G4</f>
        <v>1.2325000000000002</v>
      </c>
      <c r="CJ72" s="91">
        <f>'CZ08 Factors'!H4</f>
        <v>0.627</v>
      </c>
      <c r="CK72" s="90">
        <f>'CZ08 Factors'!I4</f>
        <v>1.8900000000000001</v>
      </c>
      <c r="CL72" s="91">
        <f>'CZ08 Factors'!J4</f>
        <v>3.5960000000000001</v>
      </c>
      <c r="CM72" s="92">
        <f>'CZ08 Factors'!K4</f>
        <v>2.2360000000000007</v>
      </c>
    </row>
    <row r="73" spans="1:93" x14ac:dyDescent="0.25">
      <c r="A73" s="24"/>
      <c r="B73" s="66">
        <f t="shared" si="13"/>
        <v>210</v>
      </c>
      <c r="C73" s="128">
        <v>0.1</v>
      </c>
      <c r="D73" s="89">
        <f>'CZ01 Factors'!D5</f>
        <v>1.0660000000000001</v>
      </c>
      <c r="E73" s="90">
        <f>'CZ01 Factors'!E5</f>
        <v>1.3294000000000001</v>
      </c>
      <c r="F73" s="91">
        <f>'CZ01 Factors'!F5</f>
        <v>1.4541000000000004</v>
      </c>
      <c r="G73" s="90">
        <f>'CZ01 Factors'!G5</f>
        <v>1.39635</v>
      </c>
      <c r="H73" s="91">
        <f>'CZ01 Factors'!H5</f>
        <v>0.88400000000000001</v>
      </c>
      <c r="I73" s="90">
        <f>'CZ01 Factors'!I5</f>
        <v>1.417</v>
      </c>
      <c r="J73" s="91">
        <f>'CZ01 Factors'!J5</f>
        <v>1.4949999999999999</v>
      </c>
      <c r="K73" s="92">
        <f>'CZ01 Factors'!K5</f>
        <v>1.3455000000000001</v>
      </c>
      <c r="M73" s="129">
        <v>0.1</v>
      </c>
      <c r="N73" s="89">
        <f>'CZ02 Factors'!D5</f>
        <v>0.45099999999999996</v>
      </c>
      <c r="O73" s="90">
        <f>'CZ02 Factors'!E5</f>
        <v>0.87124999999999986</v>
      </c>
      <c r="P73" s="91">
        <f>'CZ02 Factors'!F5</f>
        <v>1.2792000000000001</v>
      </c>
      <c r="Q73" s="90">
        <f>'CZ02 Factors'!G5</f>
        <v>0.76540000000000008</v>
      </c>
      <c r="R73" s="91">
        <f>'CZ02 Factors'!H5</f>
        <v>0.3135</v>
      </c>
      <c r="S73" s="90">
        <f>'CZ02 Factors'!I5</f>
        <v>0.88360000000000005</v>
      </c>
      <c r="T73" s="91">
        <f>'CZ02 Factors'!J5</f>
        <v>1.5162</v>
      </c>
      <c r="U73" s="92">
        <f>'CZ02 Factors'!K5</f>
        <v>0.96750000000000003</v>
      </c>
      <c r="W73" s="129">
        <v>0.1</v>
      </c>
      <c r="X73" s="89">
        <f>'CZ03 Factors'!D5</f>
        <v>0.748</v>
      </c>
      <c r="Y73" s="90">
        <f>'CZ03 Factors'!E5</f>
        <v>1.2324999999999999</v>
      </c>
      <c r="Z73" s="91">
        <f>'CZ03 Factors'!F5</f>
        <v>1.5</v>
      </c>
      <c r="AA73" s="90">
        <f>'CZ03 Factors'!G5</f>
        <v>1.3259999999999998</v>
      </c>
      <c r="AB73" s="91">
        <f>'CZ03 Factors'!H5</f>
        <v>0.75600000000000001</v>
      </c>
      <c r="AC73" s="90">
        <f>'CZ03 Factors'!I5</f>
        <v>1.2374999999999998</v>
      </c>
      <c r="AD73" s="91">
        <f>'CZ03 Factors'!J5</f>
        <v>1.3089999999999999</v>
      </c>
      <c r="AE73" s="92">
        <f>'CZ03 Factors'!K5</f>
        <v>1.1619999999999999</v>
      </c>
      <c r="AG73" s="129">
        <v>0.1</v>
      </c>
      <c r="AH73" s="89">
        <f>'CZ04 Factors'!D5</f>
        <v>0.64400000000000002</v>
      </c>
      <c r="AI73" s="90">
        <f>'CZ04 Factors'!E5</f>
        <v>0.94999999999999984</v>
      </c>
      <c r="AJ73" s="91">
        <f>'CZ04 Factors'!F5</f>
        <v>0.92999999999999994</v>
      </c>
      <c r="AK73" s="90">
        <f>'CZ04 Factors'!G5</f>
        <v>0.59150000000000003</v>
      </c>
      <c r="AL73" s="91">
        <f>'CZ04 Factors'!H5</f>
        <v>0.253</v>
      </c>
      <c r="AM73" s="90">
        <f>'CZ04 Factors'!I5</f>
        <v>0.84999999999999987</v>
      </c>
      <c r="AN73" s="91">
        <f>'CZ04 Factors'!J5</f>
        <v>1.6964999999999999</v>
      </c>
      <c r="AO73" s="92">
        <f>'CZ04 Factors'!K5</f>
        <v>1.2219999999999998</v>
      </c>
      <c r="AQ73" s="129">
        <v>0.1</v>
      </c>
      <c r="AR73" s="89">
        <f>'CZ05 Factors'!D5</f>
        <v>0.47249999999999998</v>
      </c>
      <c r="AS73" s="90">
        <f>'CZ05 Factors'!E5</f>
        <v>0.6379999999999999</v>
      </c>
      <c r="AT73" s="91">
        <f>'CZ05 Factors'!F5</f>
        <v>0.70700000000000007</v>
      </c>
      <c r="AU73" s="90">
        <f>'CZ05 Factors'!G5</f>
        <v>0.55300000000000005</v>
      </c>
      <c r="AV73" s="91">
        <f>'CZ05 Factors'!H5</f>
        <v>0.37799999999999995</v>
      </c>
      <c r="AW73" s="90">
        <f>'CZ05 Factors'!I5</f>
        <v>0.86</v>
      </c>
      <c r="AX73" s="91">
        <f>'CZ05 Factors'!J5</f>
        <v>1.4430000000000003</v>
      </c>
      <c r="AY73" s="92">
        <f>'CZ05 Factors'!K5</f>
        <v>0.96350000000000013</v>
      </c>
      <c r="AZ73" s="203"/>
      <c r="BA73" s="129">
        <v>0.1</v>
      </c>
      <c r="BB73" s="89">
        <f>'CZ05 BC Factors'!D5</f>
        <v>0.75599999999999989</v>
      </c>
      <c r="BC73" s="90">
        <f>'CZ05 BC Factors'!E5</f>
        <v>0.92399999999999982</v>
      </c>
      <c r="BD73" s="91">
        <f>'CZ05 BC Factors'!F5</f>
        <v>0.90900000000000003</v>
      </c>
      <c r="BE73" s="90">
        <f>'CZ05 BC Factors'!G5</f>
        <v>0.49375000000000002</v>
      </c>
      <c r="BF73" s="91">
        <f>'CZ05 BC Factors'!H5</f>
        <v>0.18899999999999997</v>
      </c>
      <c r="BG73" s="90">
        <f>'CZ05 BC Factors'!I5</f>
        <v>0.64499999999999991</v>
      </c>
      <c r="BH73" s="91">
        <f>'CZ05 BC Factors'!J5</f>
        <v>1.2765</v>
      </c>
      <c r="BI73" s="92">
        <f>'CZ05 BC Factors'!K5</f>
        <v>1.1044999999999998</v>
      </c>
      <c r="BK73" s="129">
        <v>0.1</v>
      </c>
      <c r="BL73" s="89">
        <f>'CZ06 Factors'!D5</f>
        <v>0.78</v>
      </c>
      <c r="BM73" s="90">
        <f>'CZ06 Factors'!E5</f>
        <v>0.9900000000000001</v>
      </c>
      <c r="BN73" s="91">
        <f>'CZ06 Factors'!F5</f>
        <v>0.99</v>
      </c>
      <c r="BO73" s="90">
        <f>'CZ06 Factors'!G5</f>
        <v>0.66599999999999993</v>
      </c>
      <c r="BP73" s="91">
        <f>'CZ06 Factors'!H5</f>
        <v>0.39200000000000002</v>
      </c>
      <c r="BQ73" s="90">
        <f>'CZ06 Factors'!I5</f>
        <v>0.95550000000000002</v>
      </c>
      <c r="BR73" s="91">
        <f>'CZ06 Factors'!J5</f>
        <v>1.625</v>
      </c>
      <c r="BS73" s="92">
        <f>'CZ06 Factors'!K5</f>
        <v>1.3</v>
      </c>
      <c r="BU73" s="129">
        <v>0.1</v>
      </c>
      <c r="BV73" s="89">
        <f>'CZ07 Factors'!D5</f>
        <v>0.83600000000000008</v>
      </c>
      <c r="BW73" s="90">
        <f>'CZ07 Factors'!E5</f>
        <v>1.0767000000000002</v>
      </c>
      <c r="BX73" s="91">
        <f>'CZ07 Factors'!F5</f>
        <v>1.1648000000000003</v>
      </c>
      <c r="BY73" s="90">
        <f>'CZ07 Factors'!G5</f>
        <v>0.92800000000000016</v>
      </c>
      <c r="BZ73" s="91">
        <f>'CZ07 Factors'!H5</f>
        <v>0.61199999999999999</v>
      </c>
      <c r="CA73" s="90">
        <f>'CZ07 Factors'!I5</f>
        <v>0.93099999999999994</v>
      </c>
      <c r="CB73" s="91">
        <f>'CZ07 Factors'!J5</f>
        <v>1.2874999999999999</v>
      </c>
      <c r="CC73" s="92">
        <f>'CZ07 Factors'!K5</f>
        <v>1.1515</v>
      </c>
      <c r="CE73" s="129">
        <v>0.1</v>
      </c>
      <c r="CF73" s="89">
        <f>'CZ08 Factors'!D5</f>
        <v>0.78</v>
      </c>
      <c r="CG73" s="90">
        <f>'CZ08 Factors'!E5</f>
        <v>1.35</v>
      </c>
      <c r="CH73" s="91">
        <f>'CZ08 Factors'!F5</f>
        <v>1.8360000000000003</v>
      </c>
      <c r="CI73" s="90">
        <f>'CZ08 Factors'!G5</f>
        <v>1.1455000000000002</v>
      </c>
      <c r="CJ73" s="91">
        <f>'CZ08 Factors'!H5</f>
        <v>0.59400000000000008</v>
      </c>
      <c r="CK73" s="90">
        <f>'CZ08 Factors'!I5</f>
        <v>1.764</v>
      </c>
      <c r="CL73" s="91">
        <f>'CZ08 Factors'!J5</f>
        <v>3.3790000000000004</v>
      </c>
      <c r="CM73" s="92">
        <f>'CZ08 Factors'!K5</f>
        <v>2.0425000000000004</v>
      </c>
    </row>
    <row r="74" spans="1:93" x14ac:dyDescent="0.25">
      <c r="A74" s="24"/>
      <c r="B74" s="66">
        <f t="shared" si="13"/>
        <v>420</v>
      </c>
      <c r="C74" s="128">
        <v>0.2</v>
      </c>
      <c r="D74" s="89">
        <f>'CZ01 Factors'!D6</f>
        <v>0.96199999999999997</v>
      </c>
      <c r="E74" s="90">
        <f>'CZ01 Factors'!E6</f>
        <v>1.1534499999999999</v>
      </c>
      <c r="F74" s="91">
        <f>'CZ01 Factors'!F6</f>
        <v>1.3230999999999999</v>
      </c>
      <c r="G74" s="90">
        <f>'CZ01 Factors'!G6</f>
        <v>1.2267000000000001</v>
      </c>
      <c r="H74" s="91">
        <f>'CZ01 Factors'!H6</f>
        <v>0.71499999999999997</v>
      </c>
      <c r="I74" s="90">
        <f>'CZ01 Factors'!I6</f>
        <v>1.2219999999999998</v>
      </c>
      <c r="J74" s="91">
        <f>'CZ01 Factors'!J6</f>
        <v>1.3</v>
      </c>
      <c r="K74" s="92">
        <f>'CZ01 Factors'!K6</f>
        <v>1.1700000000000002</v>
      </c>
      <c r="M74" s="129">
        <v>0.2</v>
      </c>
      <c r="N74" s="89">
        <f>'CZ02 Factors'!D6</f>
        <v>0.38539999999999996</v>
      </c>
      <c r="O74" s="90">
        <f>'CZ02 Factors'!E6</f>
        <v>0.75849999999999984</v>
      </c>
      <c r="P74" s="91">
        <f>'CZ02 Factors'!F6</f>
        <v>1.1315999999999999</v>
      </c>
      <c r="Q74" s="90">
        <f>'CZ02 Factors'!G6</f>
        <v>0.6764</v>
      </c>
      <c r="R74" s="91">
        <f>'CZ02 Factors'!H6</f>
        <v>0.27500000000000002</v>
      </c>
      <c r="S74" s="90">
        <f>'CZ02 Factors'!I6</f>
        <v>0.78959999999999997</v>
      </c>
      <c r="T74" s="91">
        <f>'CZ02 Factors'!J6</f>
        <v>1.33</v>
      </c>
      <c r="U74" s="92">
        <f>'CZ02 Factors'!K6</f>
        <v>0.83850000000000002</v>
      </c>
      <c r="W74" s="129">
        <v>0.2</v>
      </c>
      <c r="X74" s="89">
        <f>'CZ03 Factors'!D6</f>
        <v>0.64600000000000002</v>
      </c>
      <c r="Y74" s="90">
        <f>'CZ03 Factors'!E6</f>
        <v>1.0585</v>
      </c>
      <c r="Z74" s="91">
        <f>'CZ03 Factors'!F6</f>
        <v>1.32</v>
      </c>
      <c r="AA74" s="90">
        <f>'CZ03 Factors'!G6</f>
        <v>1.17</v>
      </c>
      <c r="AB74" s="91">
        <f>'CZ03 Factors'!H6</f>
        <v>0.64400000000000002</v>
      </c>
      <c r="AC74" s="90">
        <f>'CZ03 Factors'!I6</f>
        <v>1.0874999999999999</v>
      </c>
      <c r="AD74" s="91">
        <f>'CZ03 Factors'!J6</f>
        <v>1.1660000000000001</v>
      </c>
      <c r="AE74" s="92">
        <f>'CZ03 Factors'!K6</f>
        <v>1.022</v>
      </c>
      <c r="AG74" s="129">
        <v>0.2</v>
      </c>
      <c r="AH74" s="89">
        <f>'CZ04 Factors'!D6</f>
        <v>0.49449999999999994</v>
      </c>
      <c r="AI74" s="90">
        <f>'CZ04 Factors'!E6</f>
        <v>0.82650000000000001</v>
      </c>
      <c r="AJ74" s="91">
        <f>'CZ04 Factors'!F6</f>
        <v>0.84</v>
      </c>
      <c r="AK74" s="90">
        <f>'CZ04 Factors'!G6</f>
        <v>0.53299999999999992</v>
      </c>
      <c r="AL74" s="91">
        <f>'CZ04 Factors'!H6</f>
        <v>0.22550000000000001</v>
      </c>
      <c r="AM74" s="90">
        <f>'CZ04 Factors'!I6</f>
        <v>0.76</v>
      </c>
      <c r="AN74" s="91">
        <f>'CZ04 Factors'!J6</f>
        <v>1.5225</v>
      </c>
      <c r="AO74" s="92">
        <f>'CZ04 Factors'!K6</f>
        <v>1.0529999999999999</v>
      </c>
      <c r="AQ74" s="129">
        <v>0.2</v>
      </c>
      <c r="AR74" s="89">
        <f>'CZ05 Factors'!D6</f>
        <v>0.38250000000000001</v>
      </c>
      <c r="AS74" s="90">
        <f>'CZ05 Factors'!E6</f>
        <v>0.55099999999999993</v>
      </c>
      <c r="AT74" s="91">
        <f>'CZ05 Factors'!F6</f>
        <v>0.623</v>
      </c>
      <c r="AU74" s="90">
        <f>'CZ05 Factors'!G6</f>
        <v>0.48999999999999994</v>
      </c>
      <c r="AV74" s="91">
        <f>'CZ05 Factors'!H6</f>
        <v>0.33599999999999997</v>
      </c>
      <c r="AW74" s="90">
        <f>'CZ05 Factors'!I6</f>
        <v>0.76</v>
      </c>
      <c r="AX74" s="91">
        <f>'CZ05 Factors'!J6</f>
        <v>1.2870000000000001</v>
      </c>
      <c r="AY74" s="92">
        <f>'CZ05 Factors'!K6</f>
        <v>0.85075000000000012</v>
      </c>
      <c r="AZ74" s="203"/>
      <c r="BA74" s="129">
        <v>0.2</v>
      </c>
      <c r="BB74" s="89">
        <f>'CZ05 BC Factors'!D6</f>
        <v>0.61199999999999988</v>
      </c>
      <c r="BC74" s="90">
        <f>'CZ05 BC Factors'!E6</f>
        <v>0.79799999999999982</v>
      </c>
      <c r="BD74" s="91">
        <f>'CZ05 BC Factors'!F6</f>
        <v>0.80099999999999993</v>
      </c>
      <c r="BE74" s="90">
        <f>'CZ05 BC Factors'!G6</f>
        <v>0.43749999999999994</v>
      </c>
      <c r="BF74" s="91">
        <f>'CZ05 BC Factors'!H6</f>
        <v>0.16799999999999998</v>
      </c>
      <c r="BG74" s="90">
        <f>'CZ05 BC Factors'!I6</f>
        <v>0.56999999999999995</v>
      </c>
      <c r="BH74" s="91">
        <f>'CZ05 BC Factors'!J6</f>
        <v>1.1384999999999998</v>
      </c>
      <c r="BI74" s="92">
        <f>'CZ05 BC Factors'!K6</f>
        <v>0.97524999999999984</v>
      </c>
      <c r="BK74" s="129">
        <v>0.2</v>
      </c>
      <c r="BL74" s="89">
        <f>'CZ06 Factors'!D6</f>
        <v>0.624</v>
      </c>
      <c r="BM74" s="90">
        <f>'CZ06 Factors'!E6</f>
        <v>0.84700000000000009</v>
      </c>
      <c r="BN74" s="91">
        <f>'CZ06 Factors'!F6</f>
        <v>0.88</v>
      </c>
      <c r="BO74" s="90">
        <f>'CZ06 Factors'!G6</f>
        <v>0.58499999999999996</v>
      </c>
      <c r="BP74" s="91">
        <f>'CZ06 Factors'!H6</f>
        <v>0.35199999999999998</v>
      </c>
      <c r="BQ74" s="90">
        <f>'CZ06 Factors'!I6</f>
        <v>0.86099999999999988</v>
      </c>
      <c r="BR74" s="91">
        <f>'CZ06 Factors'!J6</f>
        <v>1.4560000000000002</v>
      </c>
      <c r="BS74" s="92">
        <f>'CZ06 Factors'!K6</f>
        <v>1.1375</v>
      </c>
      <c r="BU74" s="129">
        <v>0.2</v>
      </c>
      <c r="BV74" s="89">
        <f>'CZ07 Factors'!D6</f>
        <v>0.68200000000000005</v>
      </c>
      <c r="BW74" s="90">
        <f>'CZ07 Factors'!E6</f>
        <v>0.94350000000000012</v>
      </c>
      <c r="BX74" s="91">
        <f>'CZ07 Factors'!F6</f>
        <v>1.0416000000000003</v>
      </c>
      <c r="BY74" s="90">
        <f>'CZ07 Factors'!G6</f>
        <v>0.81199999999999994</v>
      </c>
      <c r="BZ74" s="91">
        <f>'CZ07 Factors'!H6</f>
        <v>0.54</v>
      </c>
      <c r="CA74" s="90">
        <f>'CZ07 Factors'!I6</f>
        <v>0.83299999999999996</v>
      </c>
      <c r="CB74" s="91">
        <f>'CZ07 Factors'!J6</f>
        <v>1.1375</v>
      </c>
      <c r="CC74" s="92">
        <f>'CZ07 Factors'!K6</f>
        <v>1.0105</v>
      </c>
      <c r="CE74" s="129">
        <v>0.2</v>
      </c>
      <c r="CF74" s="89">
        <f>'CZ08 Factors'!D6</f>
        <v>0.62400000000000011</v>
      </c>
      <c r="CG74" s="90">
        <f>'CZ08 Factors'!E6</f>
        <v>1.1850000000000001</v>
      </c>
      <c r="CH74" s="91">
        <f>'CZ08 Factors'!F6</f>
        <v>1.62</v>
      </c>
      <c r="CI74" s="90">
        <f>'CZ08 Factors'!G6</f>
        <v>1.0150000000000001</v>
      </c>
      <c r="CJ74" s="91">
        <f>'CZ08 Factors'!H6</f>
        <v>0.52800000000000002</v>
      </c>
      <c r="CK74" s="90">
        <f>'CZ08 Factors'!I6</f>
        <v>1.5329999999999999</v>
      </c>
      <c r="CL74" s="91">
        <f>'CZ08 Factors'!J6</f>
        <v>3.0380000000000003</v>
      </c>
      <c r="CM74" s="92">
        <f>'CZ08 Factors'!K6</f>
        <v>1.7845000000000002</v>
      </c>
    </row>
    <row r="75" spans="1:93" x14ac:dyDescent="0.25">
      <c r="A75" s="24"/>
      <c r="B75" s="66">
        <f t="shared" si="13"/>
        <v>840</v>
      </c>
      <c r="C75" s="128">
        <v>0.4</v>
      </c>
      <c r="D75" s="89">
        <f>'CZ01 Factors'!D7</f>
        <v>0.78</v>
      </c>
      <c r="E75" s="90">
        <f>'CZ01 Factors'!E7</f>
        <v>0.87974999999999992</v>
      </c>
      <c r="F75" s="91">
        <f>'CZ01 Factors'!F7</f>
        <v>1.0349000000000002</v>
      </c>
      <c r="G75" s="90">
        <f>'CZ01 Factors'!G7</f>
        <v>0.90044999999999997</v>
      </c>
      <c r="H75" s="91">
        <f>'CZ01 Factors'!H7</f>
        <v>0.54599999999999993</v>
      </c>
      <c r="I75" s="90">
        <f>'CZ01 Factors'!I7</f>
        <v>0.97499999999999998</v>
      </c>
      <c r="J75" s="91">
        <f>'CZ01 Factors'!J7</f>
        <v>1.079</v>
      </c>
      <c r="K75" s="92">
        <f>'CZ01 Factors'!K7</f>
        <v>0.9165000000000002</v>
      </c>
      <c r="M75" s="129">
        <v>0.4</v>
      </c>
      <c r="N75" s="89">
        <f>'CZ02 Factors'!D7</f>
        <v>0.31980000000000003</v>
      </c>
      <c r="O75" s="90">
        <f>'CZ02 Factors'!E7</f>
        <v>0.57399999999999995</v>
      </c>
      <c r="P75" s="91">
        <f>'CZ02 Factors'!F7</f>
        <v>0.89789999999999992</v>
      </c>
      <c r="Q75" s="90">
        <f>'CZ02 Factors'!G7</f>
        <v>0.54289999999999994</v>
      </c>
      <c r="R75" s="91">
        <f>'CZ02 Factors'!H7</f>
        <v>0.22000000000000003</v>
      </c>
      <c r="S75" s="90">
        <f>'CZ02 Factors'!I7</f>
        <v>0.62980000000000014</v>
      </c>
      <c r="T75" s="91">
        <f>'CZ02 Factors'!J7</f>
        <v>1.1038999999999999</v>
      </c>
      <c r="U75" s="92">
        <f>'CZ02 Factors'!K7</f>
        <v>0.64500000000000002</v>
      </c>
      <c r="W75" s="129">
        <v>0.4</v>
      </c>
      <c r="X75" s="89">
        <f>'CZ03 Factors'!D7</f>
        <v>0.54400000000000004</v>
      </c>
      <c r="Y75" s="90">
        <f>'CZ03 Factors'!E7</f>
        <v>0.81200000000000017</v>
      </c>
      <c r="Z75" s="91">
        <f>'CZ03 Factors'!F7</f>
        <v>1.056</v>
      </c>
      <c r="AA75" s="90">
        <f>'CZ03 Factors'!G7</f>
        <v>0.92299999999999982</v>
      </c>
      <c r="AB75" s="91">
        <f>'CZ03 Factors'!H7</f>
        <v>0.53199999999999992</v>
      </c>
      <c r="AC75" s="90">
        <f>'CZ03 Factors'!I7</f>
        <v>0.89999999999999991</v>
      </c>
      <c r="AD75" s="91">
        <f>'CZ03 Factors'!J7</f>
        <v>0.92400000000000004</v>
      </c>
      <c r="AE75" s="92">
        <f>'CZ03 Factors'!K7</f>
        <v>0.78400000000000003</v>
      </c>
      <c r="AG75" s="129">
        <v>0.4</v>
      </c>
      <c r="AH75" s="89">
        <f>'CZ04 Factors'!D7</f>
        <v>0.34499999999999997</v>
      </c>
      <c r="AI75" s="90">
        <f>'CZ04 Factors'!E7</f>
        <v>0.62699999999999989</v>
      </c>
      <c r="AJ75" s="91">
        <f>'CZ04 Factors'!F7</f>
        <v>0.69</v>
      </c>
      <c r="AK75" s="90">
        <f>'CZ04 Factors'!G7</f>
        <v>0.43550000000000005</v>
      </c>
      <c r="AL75" s="91">
        <f>'CZ04 Factors'!H7</f>
        <v>0.18700000000000003</v>
      </c>
      <c r="AM75" s="90">
        <f>'CZ04 Factors'!I7</f>
        <v>0.62</v>
      </c>
      <c r="AN75" s="91">
        <f>'CZ04 Factors'!J7</f>
        <v>1.2324999999999999</v>
      </c>
      <c r="AO75" s="92">
        <f>'CZ04 Factors'!K7</f>
        <v>0.80599999999999983</v>
      </c>
      <c r="AQ75" s="129">
        <v>0.4</v>
      </c>
      <c r="AR75" s="89">
        <f>'CZ05 Factors'!D7</f>
        <v>0.29250000000000004</v>
      </c>
      <c r="AS75" s="90">
        <f>'CZ05 Factors'!E7</f>
        <v>0.42049999999999993</v>
      </c>
      <c r="AT75" s="91">
        <f>'CZ05 Factors'!F7</f>
        <v>0.49699999999999994</v>
      </c>
      <c r="AU75" s="90">
        <f>'CZ05 Factors'!G7</f>
        <v>0.39899999999999997</v>
      </c>
      <c r="AV75" s="91">
        <f>'CZ05 Factors'!H7</f>
        <v>0.26600000000000001</v>
      </c>
      <c r="AW75" s="90">
        <f>'CZ05 Factors'!I7</f>
        <v>0.62</v>
      </c>
      <c r="AX75" s="91">
        <f>'CZ05 Factors'!J7</f>
        <v>1.0530000000000002</v>
      </c>
      <c r="AY75" s="92">
        <f>'CZ05 Factors'!K7</f>
        <v>0.63550000000000006</v>
      </c>
      <c r="AZ75" s="203"/>
      <c r="BA75" s="129">
        <v>0.4</v>
      </c>
      <c r="BB75" s="89">
        <f>'CZ05 BC Factors'!D7</f>
        <v>0.46799999999999997</v>
      </c>
      <c r="BC75" s="90">
        <f>'CZ05 BC Factors'!E7</f>
        <v>0.60899999999999987</v>
      </c>
      <c r="BD75" s="91">
        <f>'CZ05 BC Factors'!F7</f>
        <v>0.63900000000000001</v>
      </c>
      <c r="BE75" s="90">
        <f>'CZ05 BC Factors'!G7</f>
        <v>0.35625000000000001</v>
      </c>
      <c r="BF75" s="91">
        <f>'CZ05 BC Factors'!H7</f>
        <v>0.13300000000000001</v>
      </c>
      <c r="BG75" s="90">
        <f>'CZ05 BC Factors'!I7</f>
        <v>0.46499999999999997</v>
      </c>
      <c r="BH75" s="91">
        <f>'CZ05 BC Factors'!J7</f>
        <v>0.93149999999999988</v>
      </c>
      <c r="BI75" s="92">
        <f>'CZ05 BC Factors'!K7</f>
        <v>0.72849999999999993</v>
      </c>
      <c r="BK75" s="129">
        <v>0.4</v>
      </c>
      <c r="BL75" s="89">
        <f>'CZ06 Factors'!D7</f>
        <v>0.432</v>
      </c>
      <c r="BM75" s="90">
        <f>'CZ06 Factors'!E7</f>
        <v>0.63800000000000001</v>
      </c>
      <c r="BN75" s="91">
        <f>'CZ06 Factors'!F7</f>
        <v>0.71</v>
      </c>
      <c r="BO75" s="90">
        <f>'CZ06 Factors'!G7</f>
        <v>0.48599999999999999</v>
      </c>
      <c r="BP75" s="91">
        <f>'CZ06 Factors'!H7</f>
        <v>0.28799999999999998</v>
      </c>
      <c r="BQ75" s="90">
        <f>'CZ06 Factors'!I7</f>
        <v>0.70350000000000013</v>
      </c>
      <c r="BR75" s="91">
        <f>'CZ06 Factors'!J7</f>
        <v>1.17</v>
      </c>
      <c r="BS75" s="92">
        <f>'CZ06 Factors'!K7</f>
        <v>0.86249999999999993</v>
      </c>
      <c r="BU75" s="129">
        <v>0.4</v>
      </c>
      <c r="BV75" s="89">
        <f>'CZ07 Factors'!D7</f>
        <v>0.44000000000000006</v>
      </c>
      <c r="BW75" s="90">
        <f>'CZ07 Factors'!E7</f>
        <v>0.72150000000000014</v>
      </c>
      <c r="BX75" s="91">
        <f>'CZ07 Factors'!F7</f>
        <v>0.85120000000000018</v>
      </c>
      <c r="BY75" s="90">
        <f>'CZ07 Factors'!G7</f>
        <v>0.67280000000000006</v>
      </c>
      <c r="BZ75" s="91">
        <f>'CZ07 Factors'!H7</f>
        <v>0.45600000000000002</v>
      </c>
      <c r="CA75" s="90">
        <f>'CZ07 Factors'!I7</f>
        <v>0.67375000000000007</v>
      </c>
      <c r="CB75" s="91">
        <f>'CZ07 Factors'!J7</f>
        <v>0.92499999999999993</v>
      </c>
      <c r="CC75" s="92">
        <f>'CZ07 Factors'!K7</f>
        <v>0.75199999999999989</v>
      </c>
      <c r="CE75" s="129">
        <v>0.4</v>
      </c>
      <c r="CF75" s="89">
        <f>'CZ08 Factors'!D7</f>
        <v>0.46800000000000003</v>
      </c>
      <c r="CG75" s="90">
        <f>'CZ08 Factors'!E7</f>
        <v>0.90000000000000013</v>
      </c>
      <c r="CH75" s="91">
        <f>'CZ08 Factors'!F7</f>
        <v>1.3140000000000003</v>
      </c>
      <c r="CI75" s="90">
        <f>'CZ08 Factors'!G7</f>
        <v>0.82650000000000012</v>
      </c>
      <c r="CJ75" s="91">
        <f>'CZ08 Factors'!H7</f>
        <v>0.42900000000000005</v>
      </c>
      <c r="CK75" s="90">
        <f>'CZ08 Factors'!I7</f>
        <v>1.2809999999999999</v>
      </c>
      <c r="CL75" s="91">
        <f>'CZ08 Factors'!J7</f>
        <v>2.4490000000000003</v>
      </c>
      <c r="CM75" s="92">
        <f>'CZ08 Factors'!K7</f>
        <v>1.3545000000000003</v>
      </c>
    </row>
    <row r="76" spans="1:93" x14ac:dyDescent="0.25">
      <c r="A76" s="24"/>
      <c r="B76" s="66">
        <f t="shared" si="13"/>
        <v>1260</v>
      </c>
      <c r="C76" s="128">
        <v>0.6</v>
      </c>
      <c r="D76" s="89">
        <f>'CZ01 Factors'!D8</f>
        <v>0.65</v>
      </c>
      <c r="E76" s="90">
        <f>'CZ01 Factors'!E8</f>
        <v>0.72334999999999994</v>
      </c>
      <c r="F76" s="91">
        <f>'CZ01 Factors'!F8</f>
        <v>0.86460000000000015</v>
      </c>
      <c r="G76" s="90">
        <f>'CZ01 Factors'!G8</f>
        <v>0.76995000000000002</v>
      </c>
      <c r="H76" s="91">
        <f>'CZ01 Factors'!H8</f>
        <v>0.442</v>
      </c>
      <c r="I76" s="90">
        <f>'CZ01 Factors'!I8</f>
        <v>0.78</v>
      </c>
      <c r="J76" s="91">
        <f>'CZ01 Factors'!J8</f>
        <v>0.8580000000000001</v>
      </c>
      <c r="K76" s="92">
        <f>'CZ01 Factors'!K8</f>
        <v>0.7410000000000001</v>
      </c>
      <c r="M76" s="129">
        <v>0.6</v>
      </c>
      <c r="N76" s="89">
        <f>'CZ02 Factors'!D8</f>
        <v>0.27060000000000001</v>
      </c>
      <c r="O76" s="90">
        <f>'CZ02 Factors'!E8</f>
        <v>0.45099999999999996</v>
      </c>
      <c r="P76" s="91">
        <f>'CZ02 Factors'!F8</f>
        <v>0.73799999999999999</v>
      </c>
      <c r="Q76" s="90">
        <f>'CZ02 Factors'!G8</f>
        <v>0.43610000000000004</v>
      </c>
      <c r="R76" s="91">
        <f>'CZ02 Factors'!H8</f>
        <v>0.18150000000000002</v>
      </c>
      <c r="S76" s="90">
        <f>'CZ02 Factors'!I8</f>
        <v>0.51700000000000002</v>
      </c>
      <c r="T76" s="91">
        <f>'CZ02 Factors'!J8</f>
        <v>0.89110000000000011</v>
      </c>
      <c r="U76" s="92">
        <f>'CZ02 Factors'!K8</f>
        <v>0.48375000000000001</v>
      </c>
      <c r="W76" s="129">
        <v>0.6</v>
      </c>
      <c r="X76" s="89">
        <f>'CZ03 Factors'!D8</f>
        <v>0.47600000000000003</v>
      </c>
      <c r="Y76" s="90">
        <f>'CZ03 Factors'!E8</f>
        <v>0.62349999999999994</v>
      </c>
      <c r="Z76" s="91">
        <f>'CZ03 Factors'!F8</f>
        <v>0.8879999999999999</v>
      </c>
      <c r="AA76" s="90">
        <f>'CZ03 Factors'!G8</f>
        <v>0.75399999999999989</v>
      </c>
      <c r="AB76" s="91">
        <f>'CZ03 Factors'!H8</f>
        <v>0.43399999999999994</v>
      </c>
      <c r="AC76" s="90">
        <f>'CZ03 Factors'!I8</f>
        <v>0.7124999999999998</v>
      </c>
      <c r="AD76" s="91">
        <f>'CZ03 Factors'!J8</f>
        <v>0.78100000000000003</v>
      </c>
      <c r="AE76" s="92">
        <f>'CZ03 Factors'!K8</f>
        <v>0.61599999999999999</v>
      </c>
      <c r="AG76" s="129">
        <v>0.6</v>
      </c>
      <c r="AH76" s="89">
        <f>'CZ04 Factors'!D8</f>
        <v>0.31050000000000005</v>
      </c>
      <c r="AI76" s="90">
        <f>'CZ04 Factors'!E8</f>
        <v>0.47499999999999992</v>
      </c>
      <c r="AJ76" s="91">
        <f>'CZ04 Factors'!F8</f>
        <v>0.55499999999999994</v>
      </c>
      <c r="AK76" s="90">
        <f>'CZ04 Factors'!G8</f>
        <v>0.36399999999999999</v>
      </c>
      <c r="AL76" s="91">
        <f>'CZ04 Factors'!H8</f>
        <v>0.1595</v>
      </c>
      <c r="AM76" s="90">
        <f>'CZ04 Factors'!I8</f>
        <v>0.52999999999999992</v>
      </c>
      <c r="AN76" s="91">
        <f>'CZ04 Factors'!J8</f>
        <v>1.0439999999999998</v>
      </c>
      <c r="AO76" s="92">
        <f>'CZ04 Factors'!K8</f>
        <v>0.58499999999999996</v>
      </c>
      <c r="AQ76" s="129">
        <v>0.6</v>
      </c>
      <c r="AR76" s="89">
        <f>'CZ05 Factors'!D8</f>
        <v>0.26250000000000001</v>
      </c>
      <c r="AS76" s="90">
        <f>'CZ05 Factors'!E8</f>
        <v>0.33349999999999996</v>
      </c>
      <c r="AT76" s="91">
        <f>'CZ05 Factors'!F8</f>
        <v>0.40599999999999997</v>
      </c>
      <c r="AU76" s="90">
        <f>'CZ05 Factors'!G8</f>
        <v>0.32899999999999996</v>
      </c>
      <c r="AV76" s="91">
        <f>'CZ05 Factors'!H8</f>
        <v>0.23099999999999998</v>
      </c>
      <c r="AW76" s="90">
        <f>'CZ05 Factors'!I8</f>
        <v>0.51</v>
      </c>
      <c r="AX76" s="91">
        <f>'CZ05 Factors'!J8</f>
        <v>0.84500000000000008</v>
      </c>
      <c r="AY76" s="92">
        <f>'CZ05 Factors'!K8</f>
        <v>0.49199999999999999</v>
      </c>
      <c r="AZ76" s="203"/>
      <c r="BA76" s="129">
        <v>0.6</v>
      </c>
      <c r="BB76" s="89">
        <f>'CZ05 BC Factors'!D8</f>
        <v>0.41999999999999993</v>
      </c>
      <c r="BC76" s="90">
        <f>'CZ05 BC Factors'!E8</f>
        <v>0.48299999999999987</v>
      </c>
      <c r="BD76" s="91">
        <f>'CZ05 BC Factors'!F8</f>
        <v>0.52200000000000002</v>
      </c>
      <c r="BE76" s="90">
        <f>'CZ05 BC Factors'!G8</f>
        <v>0.29374999999999996</v>
      </c>
      <c r="BF76" s="91">
        <f>'CZ05 BC Factors'!H8</f>
        <v>0.11549999999999999</v>
      </c>
      <c r="BG76" s="90">
        <f>'CZ05 BC Factors'!I8</f>
        <v>0.38249999999999995</v>
      </c>
      <c r="BH76" s="91">
        <f>'CZ05 BC Factors'!J8</f>
        <v>0.74749999999999994</v>
      </c>
      <c r="BI76" s="92">
        <f>'CZ05 BC Factors'!K8</f>
        <v>0.56399999999999995</v>
      </c>
      <c r="BK76" s="129">
        <v>0.6</v>
      </c>
      <c r="BL76" s="89">
        <f>'CZ06 Factors'!D8</f>
        <v>0.36</v>
      </c>
      <c r="BM76" s="90">
        <f>'CZ06 Factors'!E8</f>
        <v>0.47300000000000003</v>
      </c>
      <c r="BN76" s="91">
        <f>'CZ06 Factors'!F8</f>
        <v>0.61</v>
      </c>
      <c r="BO76" s="90">
        <f>'CZ06 Factors'!G8</f>
        <v>0.40499999999999997</v>
      </c>
      <c r="BP76" s="91">
        <f>'CZ06 Factors'!H8</f>
        <v>0.248</v>
      </c>
      <c r="BQ76" s="90">
        <f>'CZ06 Factors'!I8</f>
        <v>0.60899999999999999</v>
      </c>
      <c r="BR76" s="91">
        <f>'CZ06 Factors'!J8</f>
        <v>0.98799999999999999</v>
      </c>
      <c r="BS76" s="92">
        <f>'CZ06 Factors'!K8</f>
        <v>0.63750000000000007</v>
      </c>
      <c r="BU76" s="129">
        <v>0.6</v>
      </c>
      <c r="BV76" s="89">
        <f>'CZ07 Factors'!D8</f>
        <v>0.35200000000000004</v>
      </c>
      <c r="BW76" s="90">
        <f>'CZ07 Factors'!E8</f>
        <v>0.56610000000000016</v>
      </c>
      <c r="BX76" s="91">
        <f>'CZ07 Factors'!F8</f>
        <v>0.72800000000000009</v>
      </c>
      <c r="BY76" s="90">
        <f>'CZ07 Factors'!G8</f>
        <v>0.57999999999999996</v>
      </c>
      <c r="BZ76" s="91">
        <f>'CZ07 Factors'!H8</f>
        <v>0.39600000000000002</v>
      </c>
      <c r="CA76" s="90">
        <f>'CZ07 Factors'!I8</f>
        <v>0.57574999999999987</v>
      </c>
      <c r="CB76" s="91">
        <f>'CZ07 Factors'!J8</f>
        <v>0.78749999999999987</v>
      </c>
      <c r="CC76" s="92">
        <f>'CZ07 Factors'!K8</f>
        <v>0.59924999999999995</v>
      </c>
      <c r="CE76" s="129">
        <v>0.6</v>
      </c>
      <c r="CF76" s="89">
        <f>'CZ08 Factors'!D8</f>
        <v>0.40800000000000003</v>
      </c>
      <c r="CG76" s="90">
        <f>'CZ08 Factors'!E8</f>
        <v>0.69000000000000017</v>
      </c>
      <c r="CH76" s="91">
        <f>'CZ08 Factors'!F8</f>
        <v>1.08</v>
      </c>
      <c r="CI76" s="90">
        <f>'CZ08 Factors'!G8</f>
        <v>0.69600000000000006</v>
      </c>
      <c r="CJ76" s="91">
        <f>'CZ08 Factors'!H8</f>
        <v>0.36300000000000004</v>
      </c>
      <c r="CK76" s="90">
        <f>'CZ08 Factors'!I8</f>
        <v>1.05</v>
      </c>
      <c r="CL76" s="91">
        <f>'CZ08 Factors'!J8</f>
        <v>2.0459999999999998</v>
      </c>
      <c r="CM76" s="92">
        <f>'CZ08 Factors'!K8</f>
        <v>1.0535000000000001</v>
      </c>
    </row>
    <row r="77" spans="1:93" x14ac:dyDescent="0.25">
      <c r="A77" s="24"/>
      <c r="B77" s="66">
        <f t="shared" si="13"/>
        <v>1680</v>
      </c>
      <c r="C77" s="128">
        <v>0.8</v>
      </c>
      <c r="D77" s="89">
        <f>'CZ01 Factors'!D9</f>
        <v>0.57200000000000006</v>
      </c>
      <c r="E77" s="90">
        <f>'CZ01 Factors'!E9</f>
        <v>0.60604999999999998</v>
      </c>
      <c r="F77" s="91">
        <f>'CZ01 Factors'!F9</f>
        <v>0.69430000000000014</v>
      </c>
      <c r="G77" s="90">
        <f>'CZ01 Factors'!G9</f>
        <v>0.61335000000000006</v>
      </c>
      <c r="H77" s="91">
        <f>'CZ01 Factors'!H9</f>
        <v>0.38999999999999996</v>
      </c>
      <c r="I77" s="90">
        <f>'CZ01 Factors'!I9</f>
        <v>0.67600000000000005</v>
      </c>
      <c r="J77" s="91">
        <f>'CZ01 Factors'!J9</f>
        <v>0.754</v>
      </c>
      <c r="K77" s="92">
        <f>'CZ01 Factors'!K9</f>
        <v>0.62400000000000011</v>
      </c>
      <c r="M77" s="129">
        <v>0.8</v>
      </c>
      <c r="N77" s="89">
        <f>'CZ02 Factors'!D9</f>
        <v>0.23779999999999998</v>
      </c>
      <c r="O77" s="90">
        <f>'CZ02 Factors'!E9</f>
        <v>0.37924999999999992</v>
      </c>
      <c r="P77" s="91">
        <f>'CZ02 Factors'!F9</f>
        <v>0.61499999999999999</v>
      </c>
      <c r="Q77" s="90">
        <f>'CZ02 Factors'!G9</f>
        <v>0.3649</v>
      </c>
      <c r="R77" s="91">
        <f>'CZ02 Factors'!H9</f>
        <v>0.1595</v>
      </c>
      <c r="S77" s="90">
        <f>'CZ02 Factors'!I9</f>
        <v>0.43240000000000006</v>
      </c>
      <c r="T77" s="91">
        <f>'CZ02 Factors'!J9</f>
        <v>0.77139999999999997</v>
      </c>
      <c r="U77" s="92">
        <f>'CZ02 Factors'!K9</f>
        <v>0.41925000000000001</v>
      </c>
      <c r="W77" s="129">
        <v>0.8</v>
      </c>
      <c r="X77" s="89">
        <f>'CZ03 Factors'!D9</f>
        <v>0.40799999999999997</v>
      </c>
      <c r="Y77" s="90">
        <f>'CZ03 Factors'!E9</f>
        <v>0.50749999999999995</v>
      </c>
      <c r="Z77" s="91">
        <f>'CZ03 Factors'!F9</f>
        <v>0.70799999999999996</v>
      </c>
      <c r="AA77" s="90">
        <f>'CZ03 Factors'!G9</f>
        <v>0.61099999999999988</v>
      </c>
      <c r="AB77" s="91">
        <f>'CZ03 Factors'!H9</f>
        <v>0.378</v>
      </c>
      <c r="AC77" s="90">
        <f>'CZ03 Factors'!I9</f>
        <v>0.62499999999999989</v>
      </c>
      <c r="AD77" s="91">
        <f>'CZ03 Factors'!J9</f>
        <v>0.66</v>
      </c>
      <c r="AE77" s="92">
        <f>'CZ03 Factors'!K9</f>
        <v>0.48999999999999994</v>
      </c>
      <c r="AG77" s="129">
        <v>0.8</v>
      </c>
      <c r="AH77" s="89">
        <f>'CZ04 Factors'!D9</f>
        <v>0.27599999999999997</v>
      </c>
      <c r="AI77" s="90">
        <f>'CZ04 Factors'!E9</f>
        <v>0.36099999999999999</v>
      </c>
      <c r="AJ77" s="91">
        <f>'CZ04 Factors'!F9</f>
        <v>0.47249999999999992</v>
      </c>
      <c r="AK77" s="90">
        <f>'CZ04 Factors'!G9</f>
        <v>0.31849999999999995</v>
      </c>
      <c r="AL77" s="91">
        <f>'CZ04 Factors'!H9</f>
        <v>0.13750000000000001</v>
      </c>
      <c r="AM77" s="90">
        <f>'CZ04 Factors'!I9</f>
        <v>0.45</v>
      </c>
      <c r="AN77" s="91">
        <f>'CZ04 Factors'!J9</f>
        <v>0.85549999999999993</v>
      </c>
      <c r="AO77" s="92">
        <f>'CZ04 Factors'!K9</f>
        <v>0.46799999999999992</v>
      </c>
      <c r="AQ77" s="129">
        <v>0.8</v>
      </c>
      <c r="AR77" s="89">
        <f>'CZ05 Factors'!D9</f>
        <v>0.22500000000000001</v>
      </c>
      <c r="AS77" s="90">
        <f>'CZ05 Factors'!E9</f>
        <v>0.26824999999999999</v>
      </c>
      <c r="AT77" s="91">
        <f>'CZ05 Factors'!F9</f>
        <v>0.35</v>
      </c>
      <c r="AU77" s="90">
        <f>'CZ05 Factors'!G9</f>
        <v>0.27999999999999997</v>
      </c>
      <c r="AV77" s="91">
        <f>'CZ05 Factors'!H9</f>
        <v>0.19600000000000001</v>
      </c>
      <c r="AW77" s="90">
        <f>'CZ05 Factors'!I9</f>
        <v>0.43</v>
      </c>
      <c r="AX77" s="91">
        <f>'CZ05 Factors'!J9</f>
        <v>0.67600000000000016</v>
      </c>
      <c r="AY77" s="92">
        <f>'CZ05 Factors'!K9</f>
        <v>0.41000000000000003</v>
      </c>
      <c r="AZ77" s="203"/>
      <c r="BA77" s="129">
        <v>0.8</v>
      </c>
      <c r="BB77" s="89">
        <f>'CZ05 BC Factors'!D9</f>
        <v>0.35999999999999993</v>
      </c>
      <c r="BC77" s="90">
        <f>'CZ05 BC Factors'!E9</f>
        <v>0.3884999999999999</v>
      </c>
      <c r="BD77" s="91">
        <f>'CZ05 BC Factors'!F9</f>
        <v>0.45</v>
      </c>
      <c r="BE77" s="90">
        <f>'CZ05 BC Factors'!G9</f>
        <v>0.25</v>
      </c>
      <c r="BF77" s="91">
        <f>'CZ05 BC Factors'!H9</f>
        <v>9.8000000000000004E-2</v>
      </c>
      <c r="BG77" s="90">
        <f>'CZ05 BC Factors'!I9</f>
        <v>0.32249999999999995</v>
      </c>
      <c r="BH77" s="91">
        <f>'CZ05 BC Factors'!J9</f>
        <v>0.59799999999999998</v>
      </c>
      <c r="BI77" s="92">
        <f>'CZ05 BC Factors'!K9</f>
        <v>0.47</v>
      </c>
      <c r="BK77" s="129">
        <v>0.8</v>
      </c>
      <c r="BL77" s="89">
        <f>'CZ06 Factors'!D9</f>
        <v>0.312</v>
      </c>
      <c r="BM77" s="90">
        <f>'CZ06 Factors'!E9</f>
        <v>0.38500000000000001</v>
      </c>
      <c r="BN77" s="91">
        <f>'CZ06 Factors'!F9</f>
        <v>0.5</v>
      </c>
      <c r="BO77" s="90">
        <f>'CZ06 Factors'!G9</f>
        <v>0.34199999999999997</v>
      </c>
      <c r="BP77" s="91">
        <f>'CZ06 Factors'!H9</f>
        <v>0.20800000000000002</v>
      </c>
      <c r="BQ77" s="90">
        <f>'CZ06 Factors'!I9</f>
        <v>0.52500000000000002</v>
      </c>
      <c r="BR77" s="91">
        <f>'CZ06 Factors'!J9</f>
        <v>0.85799999999999998</v>
      </c>
      <c r="BS77" s="92">
        <f>'CZ06 Factors'!K9</f>
        <v>0.50000000000000011</v>
      </c>
      <c r="BU77" s="129">
        <v>0.8</v>
      </c>
      <c r="BV77" s="89">
        <f>'CZ07 Factors'!D9</f>
        <v>0.30800000000000005</v>
      </c>
      <c r="BW77" s="90">
        <f>'CZ07 Factors'!E9</f>
        <v>0.44400000000000017</v>
      </c>
      <c r="BX77" s="91">
        <f>'CZ07 Factors'!F9</f>
        <v>0.60480000000000023</v>
      </c>
      <c r="BY77" s="90">
        <f>'CZ07 Factors'!G9</f>
        <v>0.51040000000000008</v>
      </c>
      <c r="BZ77" s="91">
        <f>'CZ07 Factors'!H9</f>
        <v>0.33600000000000008</v>
      </c>
      <c r="CA77" s="90">
        <f>'CZ07 Factors'!I9</f>
        <v>0.50224999999999986</v>
      </c>
      <c r="CB77" s="91">
        <f>'CZ07 Factors'!J9</f>
        <v>0.66249999999999998</v>
      </c>
      <c r="CC77" s="92">
        <f>'CZ07 Factors'!K9</f>
        <v>0.47000000000000003</v>
      </c>
      <c r="CE77" s="129">
        <v>0.8</v>
      </c>
      <c r="CF77" s="89">
        <f>'CZ08 Factors'!D9</f>
        <v>0.36000000000000004</v>
      </c>
      <c r="CG77" s="90">
        <f>'CZ08 Factors'!E9</f>
        <v>0.55500000000000016</v>
      </c>
      <c r="CH77" s="91">
        <f>'CZ08 Factors'!F9</f>
        <v>0.90000000000000013</v>
      </c>
      <c r="CI77" s="90">
        <f>'CZ08 Factors'!G9</f>
        <v>0.59450000000000003</v>
      </c>
      <c r="CJ77" s="91">
        <f>'CZ08 Factors'!H9</f>
        <v>0.31900000000000001</v>
      </c>
      <c r="CK77" s="90">
        <f>'CZ08 Factors'!I9</f>
        <v>0.90300000000000002</v>
      </c>
      <c r="CL77" s="91">
        <f>'CZ08 Factors'!J9</f>
        <v>1.6430000000000002</v>
      </c>
      <c r="CM77" s="92">
        <f>'CZ08 Factors'!K9</f>
        <v>0.8600000000000001</v>
      </c>
    </row>
    <row r="78" spans="1:93" ht="13" x14ac:dyDescent="0.3">
      <c r="A78" s="24"/>
      <c r="B78" s="66">
        <f t="shared" si="13"/>
        <v>2100</v>
      </c>
      <c r="C78" s="64">
        <v>1</v>
      </c>
      <c r="D78" s="43">
        <f>'CZ01 Factors'!D10</f>
        <v>0.49399999999999999</v>
      </c>
      <c r="E78" s="53">
        <f>'CZ01 Factors'!E10</f>
        <v>0.50829999999999997</v>
      </c>
      <c r="F78" s="48">
        <f>'CZ01 Factors'!F10</f>
        <v>0.58950000000000002</v>
      </c>
      <c r="G78" s="53">
        <f>'CZ01 Factors'!G10</f>
        <v>0.53505000000000003</v>
      </c>
      <c r="H78" s="48">
        <f>'CZ01 Factors'!H10</f>
        <v>0.32499999999999996</v>
      </c>
      <c r="I78" s="53">
        <f>'CZ01 Factors'!I10</f>
        <v>0.55900000000000005</v>
      </c>
      <c r="J78" s="48">
        <f>'CZ01 Factors'!J10</f>
        <v>0.624</v>
      </c>
      <c r="K78" s="55">
        <f>'CZ01 Factors'!K10</f>
        <v>0.54600000000000015</v>
      </c>
      <c r="M78" s="58">
        <v>1</v>
      </c>
      <c r="N78" s="43">
        <f>'CZ02 Factors'!D10</f>
        <v>0.2132</v>
      </c>
      <c r="O78" s="53">
        <f>'CZ02 Factors'!E10</f>
        <v>0.30749999999999994</v>
      </c>
      <c r="P78" s="48">
        <f>'CZ02 Factors'!F10</f>
        <v>0.52889999999999993</v>
      </c>
      <c r="Q78" s="53">
        <f>'CZ02 Factors'!G10</f>
        <v>0.3115</v>
      </c>
      <c r="R78" s="48">
        <f>'CZ02 Factors'!H10</f>
        <v>0.13200000000000001</v>
      </c>
      <c r="S78" s="53">
        <f>'CZ02 Factors'!I10</f>
        <v>0.37600000000000006</v>
      </c>
      <c r="T78" s="48">
        <f>'CZ02 Factors'!J10</f>
        <v>0.62509999999999999</v>
      </c>
      <c r="U78" s="55">
        <f>'CZ02 Factors'!K10</f>
        <v>0.34400000000000003</v>
      </c>
      <c r="W78" s="58">
        <v>1</v>
      </c>
      <c r="X78" s="43">
        <f>'CZ03 Factors'!D10</f>
        <v>0.34</v>
      </c>
      <c r="Y78" s="53">
        <f>'CZ03 Factors'!E10</f>
        <v>0.42049999999999993</v>
      </c>
      <c r="Z78" s="48">
        <f>'CZ03 Factors'!F10</f>
        <v>0.60000000000000009</v>
      </c>
      <c r="AA78" s="53">
        <f>'CZ03 Factors'!G10</f>
        <v>0.52</v>
      </c>
      <c r="AB78" s="48">
        <f>'CZ03 Factors'!H10</f>
        <v>0.33599999999999991</v>
      </c>
      <c r="AC78" s="53">
        <f>'CZ03 Factors'!I10</f>
        <v>0.53749999999999998</v>
      </c>
      <c r="AD78" s="48">
        <f>'CZ03 Factors'!J10</f>
        <v>0.58300000000000007</v>
      </c>
      <c r="AE78" s="55">
        <f>'CZ03 Factors'!K10</f>
        <v>0.40599999999999997</v>
      </c>
      <c r="AG78" s="58">
        <v>1</v>
      </c>
      <c r="AH78" s="43">
        <f>'CZ04 Factors'!D10</f>
        <v>0.23</v>
      </c>
      <c r="AI78" s="53">
        <f>'CZ04 Factors'!E10</f>
        <v>0.29449999999999998</v>
      </c>
      <c r="AJ78" s="48">
        <f>'CZ04 Factors'!F10</f>
        <v>0.41249999999999998</v>
      </c>
      <c r="AK78" s="53">
        <f>'CZ04 Factors'!G10</f>
        <v>0.27299999999999996</v>
      </c>
      <c r="AL78" s="48">
        <f>'CZ04 Factors'!H10</f>
        <v>0.12100000000000001</v>
      </c>
      <c r="AM78" s="53">
        <f>'CZ04 Factors'!I10</f>
        <v>0.39</v>
      </c>
      <c r="AN78" s="48">
        <f>'CZ04 Factors'!J10</f>
        <v>0.73949999999999994</v>
      </c>
      <c r="AO78" s="55">
        <f>'CZ04 Factors'!K10</f>
        <v>0.38999999999999996</v>
      </c>
      <c r="AQ78" s="58">
        <v>1</v>
      </c>
      <c r="AR78" s="43">
        <f>'CZ05 Factors'!D10</f>
        <v>0.19500000000000001</v>
      </c>
      <c r="AS78" s="53">
        <f>'CZ05 Factors'!E10</f>
        <v>0.22474999999999998</v>
      </c>
      <c r="AT78" s="48">
        <f>'CZ05 Factors'!F10</f>
        <v>0.29399999999999998</v>
      </c>
      <c r="AU78" s="53">
        <f>'CZ05 Factors'!G10</f>
        <v>0.23799999999999999</v>
      </c>
      <c r="AV78" s="48">
        <f>'CZ05 Factors'!H10</f>
        <v>0.17499999999999999</v>
      </c>
      <c r="AW78" s="53">
        <f>'CZ05 Factors'!I10</f>
        <v>0.37</v>
      </c>
      <c r="AX78" s="48">
        <f>'CZ05 Factors'!J10</f>
        <v>0.59800000000000009</v>
      </c>
      <c r="AY78" s="55">
        <f>'CZ05 Factors'!K10</f>
        <v>0.31775000000000003</v>
      </c>
      <c r="AZ78" s="202"/>
      <c r="BA78" s="58">
        <v>1</v>
      </c>
      <c r="BB78" s="43">
        <f>'CZ05 BC Factors'!D10</f>
        <v>0.31199999999999994</v>
      </c>
      <c r="BC78" s="53">
        <f>'CZ05 BC Factors'!E10</f>
        <v>0.3254999999999999</v>
      </c>
      <c r="BD78" s="48">
        <f>'CZ05 BC Factors'!F10</f>
        <v>0.378</v>
      </c>
      <c r="BE78" s="53">
        <f>'CZ05 BC Factors'!G10</f>
        <v>0.21249999999999999</v>
      </c>
      <c r="BF78" s="48">
        <f>'CZ05 BC Factors'!H10</f>
        <v>8.7499999999999994E-2</v>
      </c>
      <c r="BG78" s="53">
        <f>'CZ05 BC Factors'!I10</f>
        <v>0.27749999999999991</v>
      </c>
      <c r="BH78" s="48">
        <f>'CZ05 BC Factors'!J10</f>
        <v>0.52900000000000003</v>
      </c>
      <c r="BI78" s="55">
        <f>'CZ05 BC Factors'!K10</f>
        <v>0.36424999999999996</v>
      </c>
      <c r="BK78" s="58">
        <v>1</v>
      </c>
      <c r="BL78" s="43">
        <f>'CZ06 Factors'!D10</f>
        <v>0.26400000000000001</v>
      </c>
      <c r="BM78" s="53">
        <f>'CZ06 Factors'!E10</f>
        <v>0.31900000000000001</v>
      </c>
      <c r="BN78" s="48">
        <f>'CZ06 Factors'!F10</f>
        <v>0.42</v>
      </c>
      <c r="BO78" s="53">
        <f>'CZ06 Factors'!G10</f>
        <v>0.28799999999999998</v>
      </c>
      <c r="BP78" s="48">
        <f>'CZ06 Factors'!H10</f>
        <v>0.184</v>
      </c>
      <c r="BQ78" s="53">
        <f>'CZ06 Factors'!I10</f>
        <v>0.441</v>
      </c>
      <c r="BR78" s="48">
        <f>'CZ06 Factors'!J10</f>
        <v>0.72800000000000009</v>
      </c>
      <c r="BS78" s="55">
        <f>'CZ06 Factors'!K10</f>
        <v>0.44999999999999996</v>
      </c>
      <c r="BU78" s="58">
        <v>1</v>
      </c>
      <c r="BV78" s="43">
        <f>'CZ07 Factors'!D10</f>
        <v>0.27500000000000002</v>
      </c>
      <c r="BW78" s="53">
        <f>'CZ07 Factors'!E10</f>
        <v>0.36630000000000013</v>
      </c>
      <c r="BX78" s="48">
        <f>'CZ07 Factors'!F10</f>
        <v>0.53760000000000008</v>
      </c>
      <c r="BY78" s="53">
        <f>'CZ07 Factors'!G10</f>
        <v>0.42920000000000003</v>
      </c>
      <c r="BZ78" s="48">
        <f>'CZ07 Factors'!H10</f>
        <v>0.3</v>
      </c>
      <c r="CA78" s="53">
        <f>'CZ07 Factors'!I10</f>
        <v>0.42874999999999991</v>
      </c>
      <c r="CB78" s="48">
        <f>'CZ07 Factors'!J10</f>
        <v>0.54999999999999993</v>
      </c>
      <c r="CC78" s="55">
        <f>'CZ07 Factors'!K10</f>
        <v>0.37599999999999995</v>
      </c>
      <c r="CE78" s="58">
        <v>1</v>
      </c>
      <c r="CF78" s="43">
        <f>'CZ08 Factors'!D10</f>
        <v>0.3</v>
      </c>
      <c r="CG78" s="53">
        <f>'CZ08 Factors'!E10</f>
        <v>0.45000000000000007</v>
      </c>
      <c r="CH78" s="48">
        <f>'CZ08 Factors'!F10</f>
        <v>0.75600000000000001</v>
      </c>
      <c r="CI78" s="53">
        <f>'CZ08 Factors'!G10</f>
        <v>0.50750000000000006</v>
      </c>
      <c r="CJ78" s="48">
        <f>'CZ08 Factors'!H10</f>
        <v>0.27500000000000002</v>
      </c>
      <c r="CK78" s="53">
        <f>'CZ08 Factors'!I10</f>
        <v>0.77700000000000002</v>
      </c>
      <c r="CL78" s="48">
        <f>'CZ08 Factors'!J10</f>
        <v>1.4569999999999999</v>
      </c>
      <c r="CM78" s="55">
        <f>'CZ08 Factors'!K10</f>
        <v>0.70950000000000013</v>
      </c>
    </row>
    <row r="79" spans="1:93" x14ac:dyDescent="0.25">
      <c r="A79" s="24"/>
      <c r="B79" s="66">
        <f t="shared" si="13"/>
        <v>2520</v>
      </c>
      <c r="C79" s="128">
        <v>1.2</v>
      </c>
      <c r="D79" s="89">
        <f>'CZ01 Factors'!D11</f>
        <v>0.46800000000000003</v>
      </c>
      <c r="E79" s="90">
        <f>'CZ01 Factors'!E11</f>
        <v>0.44964999999999999</v>
      </c>
      <c r="F79" s="91">
        <f>'CZ01 Factors'!F11</f>
        <v>0.48470000000000008</v>
      </c>
      <c r="G79" s="90">
        <f>'CZ01 Factors'!G11</f>
        <v>0.43065000000000009</v>
      </c>
      <c r="H79" s="91">
        <f>'CZ01 Factors'!H11</f>
        <v>0.28600000000000003</v>
      </c>
      <c r="I79" s="90">
        <f>'CZ01 Factors'!I11</f>
        <v>0.50700000000000001</v>
      </c>
      <c r="J79" s="91">
        <f>'CZ01 Factors'!J11</f>
        <v>0.54600000000000004</v>
      </c>
      <c r="K79" s="92">
        <f>'CZ01 Factors'!K11</f>
        <v>0.50700000000000012</v>
      </c>
      <c r="M79" s="129">
        <v>1.2</v>
      </c>
      <c r="N79" s="89">
        <f>'CZ02 Factors'!D11</f>
        <v>0.18859999999999999</v>
      </c>
      <c r="O79" s="90">
        <f>'CZ02 Factors'!E11</f>
        <v>0.27675</v>
      </c>
      <c r="P79" s="91">
        <f>'CZ02 Factors'!F11</f>
        <v>0.43049999999999994</v>
      </c>
      <c r="Q79" s="90">
        <f>'CZ02 Factors'!G11</f>
        <v>0.26700000000000002</v>
      </c>
      <c r="R79" s="91">
        <f>'CZ02 Factors'!H11</f>
        <v>0.12100000000000001</v>
      </c>
      <c r="S79" s="90">
        <f>'CZ02 Factors'!I11</f>
        <v>0.31960000000000005</v>
      </c>
      <c r="T79" s="91">
        <f>'CZ02 Factors'!J11</f>
        <v>0.54530000000000001</v>
      </c>
      <c r="U79" s="92">
        <f>'CZ02 Factors'!K11</f>
        <v>0.30099999999999999</v>
      </c>
      <c r="W79" s="129">
        <v>1.2</v>
      </c>
      <c r="X79" s="89">
        <f>'CZ03 Factors'!D11</f>
        <v>0.32300000000000001</v>
      </c>
      <c r="Y79" s="90">
        <f>'CZ03 Factors'!E11</f>
        <v>0.377</v>
      </c>
      <c r="Z79" s="91">
        <f>'CZ03 Factors'!F11</f>
        <v>0.504</v>
      </c>
      <c r="AA79" s="90">
        <f>'CZ03 Factors'!G11</f>
        <v>0.44199999999999995</v>
      </c>
      <c r="AB79" s="91">
        <f>'CZ03 Factors'!H11</f>
        <v>0.29399999999999998</v>
      </c>
      <c r="AC79" s="90">
        <f>'CZ03 Factors'!I11</f>
        <v>0.46249999999999997</v>
      </c>
      <c r="AD79" s="91">
        <f>'CZ03 Factors'!J11</f>
        <v>0.47300000000000003</v>
      </c>
      <c r="AE79" s="92">
        <f>'CZ03 Factors'!K11</f>
        <v>0.36399999999999999</v>
      </c>
      <c r="AG79" s="129">
        <v>1.2</v>
      </c>
      <c r="AH79" s="89">
        <f>'CZ04 Factors'!D11</f>
        <v>0.2185</v>
      </c>
      <c r="AI79" s="90">
        <f>'CZ04 Factors'!E11</f>
        <v>0.247</v>
      </c>
      <c r="AJ79" s="91">
        <f>'CZ04 Factors'!F11</f>
        <v>0.34499999999999997</v>
      </c>
      <c r="AK79" s="90">
        <f>'CZ04 Factors'!G11</f>
        <v>0.24049999999999996</v>
      </c>
      <c r="AL79" s="91">
        <f>'CZ04 Factors'!H11</f>
        <v>0.11000000000000001</v>
      </c>
      <c r="AM79" s="90">
        <f>'CZ04 Factors'!I11</f>
        <v>0.35</v>
      </c>
      <c r="AN79" s="91">
        <f>'CZ04 Factors'!J11</f>
        <v>0.65249999999999997</v>
      </c>
      <c r="AO79" s="92">
        <f>'CZ04 Factors'!K11</f>
        <v>0.32499999999999996</v>
      </c>
      <c r="AQ79" s="129">
        <v>1.2</v>
      </c>
      <c r="AR79" s="89">
        <f>'CZ05 Factors'!D11</f>
        <v>0.18</v>
      </c>
      <c r="AS79" s="90">
        <f>'CZ05 Factors'!E11</f>
        <v>0.1885</v>
      </c>
      <c r="AT79" s="91">
        <f>'CZ05 Factors'!F11</f>
        <v>0.25199999999999995</v>
      </c>
      <c r="AU79" s="90">
        <f>'CZ05 Factors'!G11</f>
        <v>0.20999999999999996</v>
      </c>
      <c r="AV79" s="91">
        <f>'CZ05 Factors'!H11</f>
        <v>0.15399999999999997</v>
      </c>
      <c r="AW79" s="90">
        <f>'CZ05 Factors'!I11</f>
        <v>0.33</v>
      </c>
      <c r="AX79" s="91">
        <f>'CZ05 Factors'!J11</f>
        <v>0.52000000000000013</v>
      </c>
      <c r="AY79" s="92">
        <f>'CZ05 Factors'!K11</f>
        <v>0.27675000000000005</v>
      </c>
      <c r="AZ79" s="203"/>
      <c r="BA79" s="129">
        <v>1.2</v>
      </c>
      <c r="BB79" s="89">
        <f>'CZ05 BC Factors'!D11</f>
        <v>0.28799999999999992</v>
      </c>
      <c r="BC79" s="90">
        <f>'CZ05 BC Factors'!E11</f>
        <v>0.27299999999999996</v>
      </c>
      <c r="BD79" s="91">
        <f>'CZ05 BC Factors'!F11</f>
        <v>0.32399999999999995</v>
      </c>
      <c r="BE79" s="90">
        <f>'CZ05 BC Factors'!G11</f>
        <v>0.1875</v>
      </c>
      <c r="BF79" s="91">
        <f>'CZ05 BC Factors'!H11</f>
        <v>7.6999999999999985E-2</v>
      </c>
      <c r="BG79" s="90">
        <f>'CZ05 BC Factors'!I11</f>
        <v>0.24749999999999997</v>
      </c>
      <c r="BH79" s="91">
        <f>'CZ05 BC Factors'!J11</f>
        <v>0.45999999999999996</v>
      </c>
      <c r="BI79" s="92">
        <f>'CZ05 BC Factors'!K11</f>
        <v>0.31724999999999998</v>
      </c>
      <c r="BK79" s="129">
        <v>1.2</v>
      </c>
      <c r="BL79" s="89">
        <f>'CZ06 Factors'!D11</f>
        <v>0.24000000000000002</v>
      </c>
      <c r="BM79" s="90">
        <f>'CZ06 Factors'!E11</f>
        <v>0.26400000000000001</v>
      </c>
      <c r="BN79" s="91">
        <f>'CZ06 Factors'!F11</f>
        <v>0.37</v>
      </c>
      <c r="BO79" s="90">
        <f>'CZ06 Factors'!G11</f>
        <v>0.26099999999999995</v>
      </c>
      <c r="BP79" s="91">
        <f>'CZ06 Factors'!H11</f>
        <v>0.184</v>
      </c>
      <c r="BQ79" s="90">
        <f>'CZ06 Factors'!I11</f>
        <v>0.40950000000000003</v>
      </c>
      <c r="BR79" s="91">
        <f>'CZ06 Factors'!J11</f>
        <v>0.624</v>
      </c>
      <c r="BS79" s="92">
        <f>'CZ06 Factors'!K11</f>
        <v>0.36249999999999999</v>
      </c>
      <c r="BU79" s="129">
        <v>1.2</v>
      </c>
      <c r="BV79" s="89">
        <f>'CZ07 Factors'!D11</f>
        <v>0.24200000000000002</v>
      </c>
      <c r="BW79" s="90">
        <f>'CZ07 Factors'!E11</f>
        <v>0.31080000000000008</v>
      </c>
      <c r="BX79" s="91">
        <f>'CZ07 Factors'!F11</f>
        <v>0.45920000000000005</v>
      </c>
      <c r="BY79" s="90">
        <f>'CZ07 Factors'!G11</f>
        <v>0.39440000000000003</v>
      </c>
      <c r="BZ79" s="91">
        <f>'CZ07 Factors'!H11</f>
        <v>0.27600000000000002</v>
      </c>
      <c r="CA79" s="90">
        <f>'CZ07 Factors'!I11</f>
        <v>0.37974999999999998</v>
      </c>
      <c r="CB79" s="91">
        <f>'CZ07 Factors'!J11</f>
        <v>0.47499999999999998</v>
      </c>
      <c r="CC79" s="92">
        <f>'CZ07 Factors'!K11</f>
        <v>0.31724999999999998</v>
      </c>
      <c r="CE79" s="129">
        <v>1.2</v>
      </c>
      <c r="CF79" s="89">
        <f>'CZ08 Factors'!D11</f>
        <v>0.27600000000000002</v>
      </c>
      <c r="CG79" s="90">
        <f>'CZ08 Factors'!E11</f>
        <v>0.4200000000000001</v>
      </c>
      <c r="CH79" s="91">
        <f>'CZ08 Factors'!F11</f>
        <v>0.66600000000000004</v>
      </c>
      <c r="CI79" s="90">
        <f>'CZ08 Factors'!G11</f>
        <v>0.44950000000000007</v>
      </c>
      <c r="CJ79" s="91">
        <f>'CZ08 Factors'!H11</f>
        <v>0.253</v>
      </c>
      <c r="CK79" s="90">
        <f>'CZ08 Factors'!I11</f>
        <v>0.69300000000000006</v>
      </c>
      <c r="CL79" s="91">
        <f>'CZ08 Factors'!J11</f>
        <v>1.2090000000000001</v>
      </c>
      <c r="CM79" s="92">
        <f>'CZ08 Factors'!K11</f>
        <v>0.55900000000000016</v>
      </c>
    </row>
    <row r="80" spans="1:93" x14ac:dyDescent="0.25">
      <c r="A80" s="24"/>
      <c r="B80" s="66">
        <f t="shared" si="13"/>
        <v>2940</v>
      </c>
      <c r="C80" s="128">
        <v>1.4</v>
      </c>
      <c r="D80" s="89">
        <f>'CZ01 Factors'!D12</f>
        <v>0.44200000000000006</v>
      </c>
      <c r="E80" s="90">
        <f>'CZ01 Factors'!E12</f>
        <v>0.41054999999999997</v>
      </c>
      <c r="F80" s="91">
        <f>'CZ01 Factors'!F12</f>
        <v>0.41920000000000002</v>
      </c>
      <c r="G80" s="90">
        <f>'CZ01 Factors'!G12</f>
        <v>0.39149999999999996</v>
      </c>
      <c r="H80" s="91">
        <f>'CZ01 Factors'!H12</f>
        <v>0.28600000000000003</v>
      </c>
      <c r="I80" s="90">
        <f>'CZ01 Factors'!I12</f>
        <v>0.41599999999999998</v>
      </c>
      <c r="J80" s="91">
        <f>'CZ01 Factors'!J12</f>
        <v>0.48099999999999998</v>
      </c>
      <c r="K80" s="92">
        <f>'CZ01 Factors'!K12</f>
        <v>0.4290000000000001</v>
      </c>
      <c r="M80" s="129">
        <v>1.4</v>
      </c>
      <c r="N80" s="89">
        <f>'CZ02 Factors'!D12</f>
        <v>0.17219999999999999</v>
      </c>
      <c r="O80" s="90">
        <f>'CZ02 Factors'!E12</f>
        <v>0.24599999999999997</v>
      </c>
      <c r="P80" s="91">
        <f>'CZ02 Factors'!F12</f>
        <v>0.39360000000000001</v>
      </c>
      <c r="Q80" s="90">
        <f>'CZ02 Factors'!G12</f>
        <v>0.24920000000000006</v>
      </c>
      <c r="R80" s="91">
        <f>'CZ02 Factors'!H12</f>
        <v>0.11550000000000002</v>
      </c>
      <c r="S80" s="90">
        <f>'CZ02 Factors'!I12</f>
        <v>0.28200000000000003</v>
      </c>
      <c r="T80" s="91">
        <f>'CZ02 Factors'!J12</f>
        <v>0.47880000000000006</v>
      </c>
      <c r="U80" s="92">
        <f>'CZ02 Factors'!K12</f>
        <v>0.25800000000000001</v>
      </c>
      <c r="W80" s="129">
        <v>1.4</v>
      </c>
      <c r="X80" s="89">
        <f>'CZ03 Factors'!D12</f>
        <v>0.28899999999999998</v>
      </c>
      <c r="Y80" s="90">
        <f>'CZ03 Factors'!E12</f>
        <v>0.31900000000000001</v>
      </c>
      <c r="Z80" s="91">
        <f>'CZ03 Factors'!F12</f>
        <v>0.42</v>
      </c>
      <c r="AA80" s="90">
        <f>'CZ03 Factors'!G12</f>
        <v>0.40299999999999997</v>
      </c>
      <c r="AB80" s="91">
        <f>'CZ03 Factors'!H12</f>
        <v>0.27999999999999997</v>
      </c>
      <c r="AC80" s="90">
        <f>'CZ03 Factors'!I12</f>
        <v>0.4</v>
      </c>
      <c r="AD80" s="91">
        <f>'CZ03 Factors'!J12</f>
        <v>0.45100000000000007</v>
      </c>
      <c r="AE80" s="92">
        <f>'CZ03 Factors'!K12</f>
        <v>0.32200000000000001</v>
      </c>
      <c r="AG80" s="129">
        <v>1.4</v>
      </c>
      <c r="AH80" s="89">
        <f>'CZ04 Factors'!D12</f>
        <v>0.184</v>
      </c>
      <c r="AI80" s="90">
        <f>'CZ04 Factors'!E12</f>
        <v>0.21849999999999997</v>
      </c>
      <c r="AJ80" s="91">
        <f>'CZ04 Factors'!F12</f>
        <v>0.29249999999999998</v>
      </c>
      <c r="AK80" s="90">
        <f>'CZ04 Factors'!G12</f>
        <v>0.221</v>
      </c>
      <c r="AL80" s="91">
        <f>'CZ04 Factors'!H12</f>
        <v>9.3500000000000014E-2</v>
      </c>
      <c r="AM80" s="90">
        <f>'CZ04 Factors'!I12</f>
        <v>0.33</v>
      </c>
      <c r="AN80" s="91">
        <f>'CZ04 Factors'!J12</f>
        <v>0.55099999999999993</v>
      </c>
      <c r="AO80" s="92">
        <f>'CZ04 Factors'!K12</f>
        <v>0.27299999999999996</v>
      </c>
      <c r="AQ80" s="129">
        <v>1.4</v>
      </c>
      <c r="AR80" s="89">
        <f>'CZ05 Factors'!D12</f>
        <v>0.1575</v>
      </c>
      <c r="AS80" s="90">
        <f>'CZ05 Factors'!E12</f>
        <v>0.16674999999999998</v>
      </c>
      <c r="AT80" s="91">
        <f>'CZ05 Factors'!F12</f>
        <v>0.22400000000000003</v>
      </c>
      <c r="AU80" s="90">
        <f>'CZ05 Factors'!G12</f>
        <v>0.18900000000000003</v>
      </c>
      <c r="AV80" s="91">
        <f>'CZ05 Factors'!H12</f>
        <v>0.13999999999999999</v>
      </c>
      <c r="AW80" s="90">
        <f>'CZ05 Factors'!I12</f>
        <v>0.28999999999999998</v>
      </c>
      <c r="AX80" s="91">
        <f>'CZ05 Factors'!J12</f>
        <v>0.44200000000000006</v>
      </c>
      <c r="AY80" s="92">
        <f>'CZ05 Factors'!K12</f>
        <v>0.246</v>
      </c>
      <c r="AZ80" s="203"/>
      <c r="BA80" s="129">
        <v>1.4</v>
      </c>
      <c r="BB80" s="89">
        <f>'CZ05 BC Factors'!D12</f>
        <v>0.25199999999999995</v>
      </c>
      <c r="BC80" s="90">
        <f>'CZ05 BC Factors'!E12</f>
        <v>0.24149999999999994</v>
      </c>
      <c r="BD80" s="91">
        <f>'CZ05 BC Factors'!F12</f>
        <v>0.28800000000000003</v>
      </c>
      <c r="BE80" s="90">
        <f>'CZ05 BC Factors'!G12</f>
        <v>0.16875000000000004</v>
      </c>
      <c r="BF80" s="91">
        <f>'CZ05 BC Factors'!H12</f>
        <v>6.9999999999999993E-2</v>
      </c>
      <c r="BG80" s="90">
        <f>'CZ05 BC Factors'!I12</f>
        <v>0.21749999999999994</v>
      </c>
      <c r="BH80" s="91">
        <f>'CZ05 BC Factors'!J12</f>
        <v>0.39100000000000001</v>
      </c>
      <c r="BI80" s="92">
        <f>'CZ05 BC Factors'!K12</f>
        <v>0.28199999999999997</v>
      </c>
      <c r="BK80" s="129">
        <v>1.4</v>
      </c>
      <c r="BL80" s="89">
        <f>'CZ06 Factors'!D12</f>
        <v>0.216</v>
      </c>
      <c r="BM80" s="90">
        <f>'CZ06 Factors'!E12</f>
        <v>0.24200000000000002</v>
      </c>
      <c r="BN80" s="91">
        <f>'CZ06 Factors'!F12</f>
        <v>0.32</v>
      </c>
      <c r="BO80" s="90">
        <f>'CZ06 Factors'!G12</f>
        <v>0.23399999999999999</v>
      </c>
      <c r="BP80" s="91">
        <f>'CZ06 Factors'!H12</f>
        <v>0.152</v>
      </c>
      <c r="BQ80" s="90">
        <f>'CZ06 Factors'!I12</f>
        <v>0.35700000000000004</v>
      </c>
      <c r="BR80" s="91">
        <f>'CZ06 Factors'!J12</f>
        <v>0.54599999999999993</v>
      </c>
      <c r="BS80" s="92">
        <f>'CZ06 Factors'!K12</f>
        <v>0.32500000000000001</v>
      </c>
      <c r="BU80" s="129">
        <v>1.4</v>
      </c>
      <c r="BV80" s="89">
        <f>'CZ07 Factors'!D12</f>
        <v>0.20900000000000002</v>
      </c>
      <c r="BW80" s="90">
        <f>'CZ07 Factors'!E12</f>
        <v>0.25530000000000008</v>
      </c>
      <c r="BX80" s="91">
        <f>'CZ07 Factors'!F12</f>
        <v>0.40320000000000006</v>
      </c>
      <c r="BY80" s="90">
        <f>'CZ07 Factors'!G12</f>
        <v>0.34800000000000003</v>
      </c>
      <c r="BZ80" s="91">
        <f>'CZ07 Factors'!H12</f>
        <v>0.252</v>
      </c>
      <c r="CA80" s="90">
        <f>'CZ07 Factors'!I12</f>
        <v>0.34299999999999997</v>
      </c>
      <c r="CB80" s="91">
        <f>'CZ07 Factors'!J12</f>
        <v>0.41249999999999998</v>
      </c>
      <c r="CC80" s="92">
        <f>'CZ07 Factors'!K12</f>
        <v>0.28199999999999997</v>
      </c>
      <c r="CE80" s="129">
        <v>1.4</v>
      </c>
      <c r="CF80" s="89">
        <f>'CZ08 Factors'!D12</f>
        <v>0.252</v>
      </c>
      <c r="CG80" s="90">
        <f>'CZ08 Factors'!E12</f>
        <v>0.34500000000000008</v>
      </c>
      <c r="CH80" s="91">
        <f>'CZ08 Factors'!F12</f>
        <v>0.57600000000000007</v>
      </c>
      <c r="CI80" s="90">
        <f>'CZ08 Factors'!G12</f>
        <v>0.42049999999999998</v>
      </c>
      <c r="CJ80" s="91">
        <f>'CZ08 Factors'!H12</f>
        <v>0.22000000000000003</v>
      </c>
      <c r="CK80" s="90">
        <f>'CZ08 Factors'!I12</f>
        <v>0.60899999999999999</v>
      </c>
      <c r="CL80" s="91">
        <f>'CZ08 Factors'!J12</f>
        <v>1.0540000000000003</v>
      </c>
      <c r="CM80" s="92">
        <f>'CZ08 Factors'!K12</f>
        <v>0.51600000000000001</v>
      </c>
    </row>
    <row r="81" spans="1:91" x14ac:dyDescent="0.25">
      <c r="A81" s="24"/>
      <c r="B81" s="66">
        <f t="shared" si="13"/>
        <v>3360</v>
      </c>
      <c r="C81" s="128">
        <v>1.6</v>
      </c>
      <c r="D81" s="89">
        <f>'CZ01 Factors'!D13</f>
        <v>0.39</v>
      </c>
      <c r="E81" s="90">
        <f>'CZ01 Factors'!E13</f>
        <v>0.35189999999999994</v>
      </c>
      <c r="F81" s="91">
        <f>'CZ01 Factors'!F13</f>
        <v>0.36680000000000007</v>
      </c>
      <c r="G81" s="90">
        <f>'CZ01 Factors'!G13</f>
        <v>0.33930000000000005</v>
      </c>
      <c r="H81" s="91">
        <f>'CZ01 Factors'!H13</f>
        <v>0.23399999999999999</v>
      </c>
      <c r="I81" s="90">
        <f>'CZ01 Factors'!I13</f>
        <v>0.377</v>
      </c>
      <c r="J81" s="91">
        <f>'CZ01 Factors'!J13</f>
        <v>0.44200000000000006</v>
      </c>
      <c r="K81" s="92">
        <f>'CZ01 Factors'!K13</f>
        <v>0.40950000000000009</v>
      </c>
      <c r="M81" s="129">
        <v>1.6</v>
      </c>
      <c r="N81" s="89">
        <f>'CZ02 Factors'!D13</f>
        <v>0.15579999999999999</v>
      </c>
      <c r="O81" s="90">
        <f>'CZ02 Factors'!E13</f>
        <v>0.23574999999999999</v>
      </c>
      <c r="P81" s="91">
        <f>'CZ02 Factors'!F13</f>
        <v>0.34440000000000004</v>
      </c>
      <c r="Q81" s="90">
        <f>'CZ02 Factors'!G13</f>
        <v>0.2225</v>
      </c>
      <c r="R81" s="91">
        <f>'CZ02 Factors'!H13</f>
        <v>0.10450000000000001</v>
      </c>
      <c r="S81" s="90">
        <f>'CZ02 Factors'!I13</f>
        <v>0.25380000000000003</v>
      </c>
      <c r="T81" s="91">
        <f>'CZ02 Factors'!J13</f>
        <v>0.4123</v>
      </c>
      <c r="U81" s="92">
        <f>'CZ02 Factors'!K13</f>
        <v>0.23649999999999999</v>
      </c>
      <c r="W81" s="129">
        <v>1.6</v>
      </c>
      <c r="X81" s="89">
        <f>'CZ03 Factors'!D13</f>
        <v>0.28899999999999998</v>
      </c>
      <c r="Y81" s="90">
        <f>'CZ03 Factors'!E13</f>
        <v>0.29000000000000004</v>
      </c>
      <c r="Z81" s="91">
        <f>'CZ03 Factors'!F13</f>
        <v>0.39600000000000002</v>
      </c>
      <c r="AA81" s="90">
        <f>'CZ03 Factors'!G13</f>
        <v>0.35099999999999998</v>
      </c>
      <c r="AB81" s="91">
        <f>'CZ03 Factors'!H13</f>
        <v>0.22399999999999998</v>
      </c>
      <c r="AC81" s="90">
        <f>'CZ03 Factors'!I13</f>
        <v>0.38749999999999996</v>
      </c>
      <c r="AD81" s="91">
        <f>'CZ03 Factors'!J13</f>
        <v>0.38500000000000001</v>
      </c>
      <c r="AE81" s="92">
        <f>'CZ03 Factors'!K13</f>
        <v>0.29399999999999998</v>
      </c>
      <c r="AG81" s="129">
        <v>1.6</v>
      </c>
      <c r="AH81" s="89">
        <f>'CZ04 Factors'!D13</f>
        <v>0.184</v>
      </c>
      <c r="AI81" s="90">
        <f>'CZ04 Factors'!E13</f>
        <v>0.18999999999999997</v>
      </c>
      <c r="AJ81" s="91">
        <f>'CZ04 Factors'!F13</f>
        <v>0.28499999999999998</v>
      </c>
      <c r="AK81" s="90">
        <f>'CZ04 Factors'!G13</f>
        <v>0.19499999999999998</v>
      </c>
      <c r="AL81" s="91">
        <f>'CZ04 Factors'!H13</f>
        <v>8.8000000000000009E-2</v>
      </c>
      <c r="AM81" s="90">
        <f>'CZ04 Factors'!I13</f>
        <v>0.28999999999999998</v>
      </c>
      <c r="AN81" s="91">
        <f>'CZ04 Factors'!J13</f>
        <v>0.47849999999999993</v>
      </c>
      <c r="AO81" s="92">
        <f>'CZ04 Factors'!K13</f>
        <v>0.26</v>
      </c>
      <c r="AQ81" s="129">
        <v>1.6</v>
      </c>
      <c r="AR81" s="89">
        <f>'CZ05 Factors'!D13</f>
        <v>0.15000000000000002</v>
      </c>
      <c r="AS81" s="90">
        <f>'CZ05 Factors'!E13</f>
        <v>0.15949999999999998</v>
      </c>
      <c r="AT81" s="91">
        <f>'CZ05 Factors'!F13</f>
        <v>0.20299999999999999</v>
      </c>
      <c r="AU81" s="90">
        <f>'CZ05 Factors'!G13</f>
        <v>0.16099999999999998</v>
      </c>
      <c r="AV81" s="91">
        <f>'CZ05 Factors'!H13</f>
        <v>0.12599999999999997</v>
      </c>
      <c r="AW81" s="90">
        <f>'CZ05 Factors'!I13</f>
        <v>0.27</v>
      </c>
      <c r="AX81" s="91">
        <f>'CZ05 Factors'!J13</f>
        <v>0.39</v>
      </c>
      <c r="AY81" s="92">
        <f>'CZ05 Factors'!K13</f>
        <v>0.21525000000000002</v>
      </c>
      <c r="AZ81" s="203"/>
      <c r="BA81" s="129">
        <v>1.6</v>
      </c>
      <c r="BB81" s="89">
        <f>'CZ05 BC Factors'!D13</f>
        <v>0.24</v>
      </c>
      <c r="BC81" s="90">
        <f>'CZ05 BC Factors'!E13</f>
        <v>0.23099999999999996</v>
      </c>
      <c r="BD81" s="91">
        <f>'CZ05 BC Factors'!F13</f>
        <v>0.26100000000000001</v>
      </c>
      <c r="BE81" s="90">
        <f>'CZ05 BC Factors'!G13</f>
        <v>0.14374999999999999</v>
      </c>
      <c r="BF81" s="91">
        <f>'CZ05 BC Factors'!H13</f>
        <v>6.2999999999999987E-2</v>
      </c>
      <c r="BG81" s="90">
        <f>'CZ05 BC Factors'!I13</f>
        <v>0.20249999999999999</v>
      </c>
      <c r="BH81" s="91">
        <f>'CZ05 BC Factors'!J13</f>
        <v>0.34499999999999997</v>
      </c>
      <c r="BI81" s="92">
        <f>'CZ05 BC Factors'!K13</f>
        <v>0.24674999999999997</v>
      </c>
      <c r="BK81" s="129">
        <v>1.6</v>
      </c>
      <c r="BL81" s="89">
        <f>'CZ06 Factors'!D13</f>
        <v>0.19200000000000003</v>
      </c>
      <c r="BM81" s="90">
        <f>'CZ06 Factors'!E13</f>
        <v>0.20900000000000005</v>
      </c>
      <c r="BN81" s="91">
        <f>'CZ06 Factors'!F13</f>
        <v>0.28000000000000003</v>
      </c>
      <c r="BO81" s="90">
        <f>'CZ06 Factors'!G13</f>
        <v>0.21599999999999997</v>
      </c>
      <c r="BP81" s="91">
        <f>'CZ06 Factors'!H13</f>
        <v>0.14399999999999999</v>
      </c>
      <c r="BQ81" s="90">
        <f>'CZ06 Factors'!I13</f>
        <v>0.32550000000000001</v>
      </c>
      <c r="BR81" s="91">
        <f>'CZ06 Factors'!J13</f>
        <v>0.49399999999999999</v>
      </c>
      <c r="BS81" s="92">
        <f>'CZ06 Factors'!K13</f>
        <v>0.26250000000000001</v>
      </c>
      <c r="BU81" s="129">
        <v>1.6</v>
      </c>
      <c r="BV81" s="89">
        <f>'CZ07 Factors'!D13</f>
        <v>0.19800000000000001</v>
      </c>
      <c r="BW81" s="90">
        <f>'CZ07 Factors'!E13</f>
        <v>0.23310000000000003</v>
      </c>
      <c r="BX81" s="91">
        <f>'CZ07 Factors'!F13</f>
        <v>0.3696000000000001</v>
      </c>
      <c r="BY81" s="90">
        <f>'CZ07 Factors'!G13</f>
        <v>0.31320000000000003</v>
      </c>
      <c r="BZ81" s="91">
        <f>'CZ07 Factors'!H13</f>
        <v>0.24</v>
      </c>
      <c r="CA81" s="90">
        <f>'CZ07 Factors'!I13</f>
        <v>0.31849999999999995</v>
      </c>
      <c r="CB81" s="91">
        <f>'CZ07 Factors'!J13</f>
        <v>0.38749999999999996</v>
      </c>
      <c r="CC81" s="92">
        <f>'CZ07 Factors'!K13</f>
        <v>0.24674999999999997</v>
      </c>
      <c r="CE81" s="129">
        <v>1.6</v>
      </c>
      <c r="CF81" s="89">
        <f>'CZ08 Factors'!D13</f>
        <v>0.24000000000000002</v>
      </c>
      <c r="CG81" s="90">
        <f>'CZ08 Factors'!E13</f>
        <v>0.315</v>
      </c>
      <c r="CH81" s="91">
        <f>'CZ08 Factors'!F13</f>
        <v>0.54</v>
      </c>
      <c r="CI81" s="90">
        <f>'CZ08 Factors'!G13</f>
        <v>0.36250000000000004</v>
      </c>
      <c r="CJ81" s="91">
        <f>'CZ08 Factors'!H13</f>
        <v>0.19799999999999998</v>
      </c>
      <c r="CK81" s="90">
        <f>'CZ08 Factors'!I13</f>
        <v>0.52500000000000002</v>
      </c>
      <c r="CL81" s="91">
        <f>'CZ08 Factors'!J13</f>
        <v>0.96099999999999997</v>
      </c>
      <c r="CM81" s="92">
        <f>'CZ08 Factors'!K13</f>
        <v>0.47300000000000009</v>
      </c>
    </row>
    <row r="82" spans="1:91" x14ac:dyDescent="0.25">
      <c r="A82" s="24"/>
      <c r="B82" s="66">
        <f t="shared" si="13"/>
        <v>3780</v>
      </c>
      <c r="C82" s="128">
        <v>1.8</v>
      </c>
      <c r="D82" s="89">
        <f>'CZ01 Factors'!D14</f>
        <v>0.33800000000000002</v>
      </c>
      <c r="E82" s="90">
        <f>'CZ01 Factors'!E14</f>
        <v>0.35189999999999994</v>
      </c>
      <c r="F82" s="91">
        <f>'CZ01 Factors'!F14</f>
        <v>0.35370000000000007</v>
      </c>
      <c r="G82" s="90">
        <f>'CZ01 Factors'!G14</f>
        <v>0.28710000000000002</v>
      </c>
      <c r="H82" s="91">
        <f>'CZ01 Factors'!H14</f>
        <v>0.221</v>
      </c>
      <c r="I82" s="90">
        <f>'CZ01 Factors'!I14</f>
        <v>0.36400000000000005</v>
      </c>
      <c r="J82" s="91">
        <f>'CZ01 Factors'!J14</f>
        <v>0.39</v>
      </c>
      <c r="K82" s="92">
        <f>'CZ01 Factors'!K14</f>
        <v>0.35100000000000003</v>
      </c>
      <c r="M82" s="129">
        <v>1.8</v>
      </c>
      <c r="N82" s="89">
        <f>'CZ02 Factors'!D14</f>
        <v>0.1394</v>
      </c>
      <c r="O82" s="90">
        <f>'CZ02 Factors'!E14</f>
        <v>0.20499999999999999</v>
      </c>
      <c r="P82" s="91">
        <f>'CZ02 Factors'!F14</f>
        <v>0.29519999999999996</v>
      </c>
      <c r="Q82" s="90">
        <f>'CZ02 Factors'!G14</f>
        <v>0.19580000000000003</v>
      </c>
      <c r="R82" s="91">
        <f>'CZ02 Factors'!H14</f>
        <v>9.3500000000000014E-2</v>
      </c>
      <c r="S82" s="90">
        <f>'CZ02 Factors'!I14</f>
        <v>0.24440000000000003</v>
      </c>
      <c r="T82" s="91">
        <f>'CZ02 Factors'!J14</f>
        <v>0.37240000000000006</v>
      </c>
      <c r="U82" s="92">
        <f>'CZ02 Factors'!K14</f>
        <v>0.21500000000000002</v>
      </c>
      <c r="W82" s="129">
        <v>1.8</v>
      </c>
      <c r="X82" s="89">
        <f>'CZ03 Factors'!D14</f>
        <v>0.255</v>
      </c>
      <c r="Y82" s="90">
        <f>'CZ03 Factors'!E14</f>
        <v>0.27549999999999997</v>
      </c>
      <c r="Z82" s="91">
        <f>'CZ03 Factors'!F14</f>
        <v>0.36</v>
      </c>
      <c r="AA82" s="90">
        <f>'CZ03 Factors'!G14</f>
        <v>0.312</v>
      </c>
      <c r="AB82" s="91">
        <f>'CZ03 Factors'!H14</f>
        <v>0.22399999999999998</v>
      </c>
      <c r="AC82" s="90">
        <f>'CZ03 Factors'!I14</f>
        <v>0.35</v>
      </c>
      <c r="AD82" s="91">
        <f>'CZ03 Factors'!J14</f>
        <v>0.36300000000000004</v>
      </c>
      <c r="AE82" s="92">
        <f>'CZ03 Factors'!K14</f>
        <v>0.26599999999999996</v>
      </c>
      <c r="AG82" s="129">
        <v>1.8</v>
      </c>
      <c r="AH82" s="89">
        <f>'CZ04 Factors'!D14</f>
        <v>0.161</v>
      </c>
      <c r="AI82" s="90">
        <f>'CZ04 Factors'!E14</f>
        <v>0.17099999999999996</v>
      </c>
      <c r="AJ82" s="91">
        <f>'CZ04 Factors'!F14</f>
        <v>0.24</v>
      </c>
      <c r="AK82" s="90">
        <f>'CZ04 Factors'!G14</f>
        <v>0.17550000000000002</v>
      </c>
      <c r="AL82" s="91">
        <f>'CZ04 Factors'!H14</f>
        <v>7.7000000000000013E-2</v>
      </c>
      <c r="AM82" s="90">
        <f>'CZ04 Factors'!I14</f>
        <v>0.24999999999999997</v>
      </c>
      <c r="AN82" s="91">
        <f>'CZ04 Factors'!J14</f>
        <v>0.46399999999999997</v>
      </c>
      <c r="AO82" s="92">
        <f>'CZ04 Factors'!K14</f>
        <v>0.22099999999999997</v>
      </c>
      <c r="AQ82" s="129">
        <v>1.8</v>
      </c>
      <c r="AR82" s="89">
        <f>'CZ05 Factors'!D14</f>
        <v>0.13500000000000001</v>
      </c>
      <c r="AS82" s="90">
        <f>'CZ05 Factors'!E14</f>
        <v>0.14500000000000002</v>
      </c>
      <c r="AT82" s="91">
        <f>'CZ05 Factors'!F14</f>
        <v>0.17499999999999999</v>
      </c>
      <c r="AU82" s="90">
        <f>'CZ05 Factors'!G14</f>
        <v>0.14699999999999999</v>
      </c>
      <c r="AV82" s="91">
        <f>'CZ05 Factors'!H14</f>
        <v>0.11899999999999999</v>
      </c>
      <c r="AW82" s="90">
        <f>'CZ05 Factors'!I14</f>
        <v>0.23</v>
      </c>
      <c r="AX82" s="91">
        <f>'CZ05 Factors'!J14</f>
        <v>0.35100000000000003</v>
      </c>
      <c r="AY82" s="92">
        <f>'CZ05 Factors'!K14</f>
        <v>0.20500000000000002</v>
      </c>
      <c r="AZ82" s="203"/>
      <c r="BA82" s="129">
        <v>1.8</v>
      </c>
      <c r="BB82" s="89">
        <f>'CZ05 BC Factors'!D14</f>
        <v>0.21599999999999997</v>
      </c>
      <c r="BC82" s="90">
        <f>'CZ05 BC Factors'!E14</f>
        <v>0.21</v>
      </c>
      <c r="BD82" s="91">
        <f>'CZ05 BC Factors'!F14</f>
        <v>0.22500000000000001</v>
      </c>
      <c r="BE82" s="90">
        <f>'CZ05 BC Factors'!G14</f>
        <v>0.13125000000000001</v>
      </c>
      <c r="BF82" s="91">
        <f>'CZ05 BC Factors'!H14</f>
        <v>5.9499999999999997E-2</v>
      </c>
      <c r="BG82" s="90">
        <f>'CZ05 BC Factors'!I14</f>
        <v>0.17249999999999999</v>
      </c>
      <c r="BH82" s="91">
        <f>'CZ05 BC Factors'!J14</f>
        <v>0.3105</v>
      </c>
      <c r="BI82" s="92">
        <f>'CZ05 BC Factors'!K14</f>
        <v>0.23499999999999999</v>
      </c>
      <c r="BK82" s="129">
        <v>1.8</v>
      </c>
      <c r="BL82" s="89">
        <f>'CZ06 Factors'!D14</f>
        <v>0.18</v>
      </c>
      <c r="BM82" s="90">
        <f>'CZ06 Factors'!E14</f>
        <v>0.19800000000000001</v>
      </c>
      <c r="BN82" s="91">
        <f>'CZ06 Factors'!F14</f>
        <v>0.26</v>
      </c>
      <c r="BO82" s="90">
        <f>'CZ06 Factors'!G14</f>
        <v>0.19800000000000001</v>
      </c>
      <c r="BP82" s="91">
        <f>'CZ06 Factors'!H14</f>
        <v>0.13600000000000001</v>
      </c>
      <c r="BQ82" s="90">
        <f>'CZ06 Factors'!I14</f>
        <v>0.29399999999999998</v>
      </c>
      <c r="BR82" s="91">
        <f>'CZ06 Factors'!J14</f>
        <v>0.442</v>
      </c>
      <c r="BS82" s="92">
        <f>'CZ06 Factors'!K14</f>
        <v>0.25000000000000006</v>
      </c>
      <c r="BU82" s="129">
        <v>1.8</v>
      </c>
      <c r="BV82" s="89">
        <f>'CZ07 Factors'!D14</f>
        <v>0.18700000000000003</v>
      </c>
      <c r="BW82" s="90">
        <f>'CZ07 Factors'!E14</f>
        <v>0.22200000000000009</v>
      </c>
      <c r="BX82" s="91">
        <f>'CZ07 Factors'!F14</f>
        <v>0.3136000000000001</v>
      </c>
      <c r="BY82" s="90">
        <f>'CZ07 Factors'!G14</f>
        <v>0.27839999999999998</v>
      </c>
      <c r="BZ82" s="91">
        <f>'CZ07 Factors'!H14</f>
        <v>0.216</v>
      </c>
      <c r="CA82" s="90">
        <f>'CZ07 Factors'!I14</f>
        <v>0.29399999999999998</v>
      </c>
      <c r="CB82" s="91">
        <f>'CZ07 Factors'!J14</f>
        <v>0.33750000000000002</v>
      </c>
      <c r="CC82" s="92">
        <f>'CZ07 Factors'!K14</f>
        <v>0.22325</v>
      </c>
      <c r="CE82" s="129">
        <v>1.8</v>
      </c>
      <c r="CF82" s="89">
        <f>'CZ08 Factors'!D14</f>
        <v>0.22800000000000001</v>
      </c>
      <c r="CG82" s="90">
        <f>'CZ08 Factors'!E14</f>
        <v>0.3000000000000001</v>
      </c>
      <c r="CH82" s="91">
        <f>'CZ08 Factors'!F14</f>
        <v>0.45000000000000007</v>
      </c>
      <c r="CI82" s="90">
        <f>'CZ08 Factors'!G14</f>
        <v>0.31900000000000006</v>
      </c>
      <c r="CJ82" s="91">
        <f>'CZ08 Factors'!H14</f>
        <v>0.18700000000000003</v>
      </c>
      <c r="CK82" s="90">
        <f>'CZ08 Factors'!I14</f>
        <v>0.48300000000000004</v>
      </c>
      <c r="CL82" s="91">
        <f>'CZ08 Factors'!J14</f>
        <v>0.8680000000000001</v>
      </c>
      <c r="CM82" s="92">
        <f>'CZ08 Factors'!K14</f>
        <v>0.43000000000000005</v>
      </c>
    </row>
    <row r="83" spans="1:91" ht="13" x14ac:dyDescent="0.3">
      <c r="A83" s="24"/>
      <c r="B83" s="66">
        <f t="shared" si="13"/>
        <v>4200</v>
      </c>
      <c r="C83" s="65">
        <v>2</v>
      </c>
      <c r="D83" s="49">
        <f>'CZ01 Factors'!D15</f>
        <v>0.312</v>
      </c>
      <c r="E83" s="54">
        <f>'CZ01 Factors'!E15</f>
        <v>0.33235000000000003</v>
      </c>
      <c r="F83" s="50">
        <f>'CZ01 Factors'!F15</f>
        <v>0.30130000000000007</v>
      </c>
      <c r="G83" s="54">
        <f>'CZ01 Factors'!G15</f>
        <v>0.27405000000000002</v>
      </c>
      <c r="H83" s="50">
        <f>'CZ01 Factors'!H15</f>
        <v>0.20799999999999999</v>
      </c>
      <c r="I83" s="54">
        <f>'CZ01 Factors'!I15</f>
        <v>0.312</v>
      </c>
      <c r="J83" s="50">
        <f>'CZ01 Factors'!J15</f>
        <v>0.36400000000000005</v>
      </c>
      <c r="K83" s="56">
        <f>'CZ01 Factors'!K15</f>
        <v>0.33150000000000007</v>
      </c>
      <c r="M83" s="59">
        <v>2</v>
      </c>
      <c r="N83" s="49">
        <f>'CZ02 Factors'!D15</f>
        <v>0.1394</v>
      </c>
      <c r="O83" s="54">
        <f>'CZ02 Factors'!E15</f>
        <v>0.19474999999999998</v>
      </c>
      <c r="P83" s="50">
        <f>'CZ02 Factors'!F15</f>
        <v>0.27060000000000001</v>
      </c>
      <c r="Q83" s="54">
        <f>'CZ02 Factors'!G15</f>
        <v>0.18689999999999998</v>
      </c>
      <c r="R83" s="50">
        <f>'CZ02 Factors'!H15</f>
        <v>8.8000000000000009E-2</v>
      </c>
      <c r="S83" s="54">
        <f>'CZ02 Factors'!I15</f>
        <v>0.20680000000000004</v>
      </c>
      <c r="T83" s="50">
        <f>'CZ02 Factors'!J15</f>
        <v>0.35910000000000003</v>
      </c>
      <c r="U83" s="56">
        <f>'CZ02 Factors'!K15</f>
        <v>0.20425000000000001</v>
      </c>
      <c r="W83" s="59">
        <v>2</v>
      </c>
      <c r="X83" s="49">
        <f>'CZ03 Factors'!D15</f>
        <v>0.255</v>
      </c>
      <c r="Y83" s="54">
        <f>'CZ03 Factors'!E15</f>
        <v>0.26100000000000001</v>
      </c>
      <c r="Z83" s="50">
        <f>'CZ03 Factors'!F15</f>
        <v>0.30000000000000004</v>
      </c>
      <c r="AA83" s="54">
        <f>'CZ03 Factors'!G15</f>
        <v>0.312</v>
      </c>
      <c r="AB83" s="50">
        <f>'CZ03 Factors'!H15</f>
        <v>0.20999999999999996</v>
      </c>
      <c r="AC83" s="54">
        <f>'CZ03 Factors'!I15</f>
        <v>0.29999999999999993</v>
      </c>
      <c r="AD83" s="50">
        <f>'CZ03 Factors'!J15</f>
        <v>0.29700000000000004</v>
      </c>
      <c r="AE83" s="56">
        <f>'CZ03 Factors'!K15</f>
        <v>0.23799999999999999</v>
      </c>
      <c r="AG83" s="59">
        <v>2</v>
      </c>
      <c r="AH83" s="49">
        <f>'CZ04 Factors'!D15</f>
        <v>0.14950000000000002</v>
      </c>
      <c r="AI83" s="54">
        <f>'CZ04 Factors'!E15</f>
        <v>0.1615</v>
      </c>
      <c r="AJ83" s="50">
        <f>'CZ04 Factors'!F15</f>
        <v>0.21</v>
      </c>
      <c r="AK83" s="54">
        <f>'CZ04 Factors'!G15</f>
        <v>0.14949999999999999</v>
      </c>
      <c r="AL83" s="50">
        <f>'CZ04 Factors'!H15</f>
        <v>7.7000000000000013E-2</v>
      </c>
      <c r="AM83" s="54">
        <f>'CZ04 Factors'!I15</f>
        <v>0.24</v>
      </c>
      <c r="AN83" s="50">
        <f>'CZ04 Factors'!J15</f>
        <v>0.377</v>
      </c>
      <c r="AO83" s="56">
        <f>'CZ04 Factors'!K15</f>
        <v>0.20799999999999999</v>
      </c>
      <c r="AQ83" s="59">
        <v>2</v>
      </c>
      <c r="AR83" s="49">
        <f>'CZ05 Factors'!D15</f>
        <v>0.1275</v>
      </c>
      <c r="AS83" s="54">
        <f>'CZ05 Factors'!E15</f>
        <v>0.12325000000000001</v>
      </c>
      <c r="AT83" s="50">
        <f>'CZ05 Factors'!F15</f>
        <v>0.16800000000000001</v>
      </c>
      <c r="AU83" s="54">
        <f>'CZ05 Factors'!G15</f>
        <v>0.14699999999999999</v>
      </c>
      <c r="AV83" s="50">
        <f>'CZ05 Factors'!H15</f>
        <v>0.11199999999999999</v>
      </c>
      <c r="AW83" s="54">
        <f>'CZ05 Factors'!I15</f>
        <v>0.21</v>
      </c>
      <c r="AX83" s="50">
        <f>'CZ05 Factors'!J15</f>
        <v>0.32500000000000001</v>
      </c>
      <c r="AY83" s="56">
        <f>'CZ05 Factors'!K15</f>
        <v>0.19475000000000003</v>
      </c>
      <c r="AZ83" s="202"/>
      <c r="BA83" s="59">
        <v>2</v>
      </c>
      <c r="BB83" s="49">
        <f>'CZ05 BC Factors'!D15</f>
        <v>0.20399999999999999</v>
      </c>
      <c r="BC83" s="54">
        <f>'CZ05 BC Factors'!E15</f>
        <v>0.17849999999999999</v>
      </c>
      <c r="BD83" s="50">
        <f>'CZ05 BC Factors'!F15</f>
        <v>0.216</v>
      </c>
      <c r="BE83" s="54">
        <f>'CZ05 BC Factors'!G15</f>
        <v>0.13125000000000001</v>
      </c>
      <c r="BF83" s="50">
        <f>'CZ05 BC Factors'!H15</f>
        <v>5.5999999999999994E-2</v>
      </c>
      <c r="BG83" s="54">
        <f>'CZ05 BC Factors'!I15</f>
        <v>0.15749999999999997</v>
      </c>
      <c r="BH83" s="50">
        <f>'CZ05 BC Factors'!J15</f>
        <v>0.28749999999999998</v>
      </c>
      <c r="BI83" s="56">
        <f>'CZ05 BC Factors'!K15</f>
        <v>0.22325</v>
      </c>
      <c r="BK83" s="59">
        <v>2</v>
      </c>
      <c r="BL83" s="49">
        <f>'CZ06 Factors'!D15</f>
        <v>0.16800000000000001</v>
      </c>
      <c r="BM83" s="54">
        <f>'CZ06 Factors'!E15</f>
        <v>0.18700000000000003</v>
      </c>
      <c r="BN83" s="50">
        <f>'CZ06 Factors'!F15</f>
        <v>0.24</v>
      </c>
      <c r="BO83" s="54">
        <f>'CZ06 Factors'!G15</f>
        <v>0.18899999999999997</v>
      </c>
      <c r="BP83" s="50">
        <f>'CZ06 Factors'!H15</f>
        <v>0.13600000000000001</v>
      </c>
      <c r="BQ83" s="54">
        <f>'CZ06 Factors'!I15</f>
        <v>0.27300000000000002</v>
      </c>
      <c r="BR83" s="50">
        <f>'CZ06 Factors'!J15</f>
        <v>0.40300000000000002</v>
      </c>
      <c r="BS83" s="56">
        <f>'CZ06 Factors'!K15</f>
        <v>0.21250000000000002</v>
      </c>
      <c r="BU83" s="59">
        <v>2</v>
      </c>
      <c r="BV83" s="49">
        <f>'CZ07 Factors'!D15</f>
        <v>0.17600000000000002</v>
      </c>
      <c r="BW83" s="54">
        <f>'CZ07 Factors'!E15</f>
        <v>0.21090000000000003</v>
      </c>
      <c r="BX83" s="50">
        <f>'CZ07 Factors'!F15</f>
        <v>0.30240000000000011</v>
      </c>
      <c r="BY83" s="54">
        <f>'CZ07 Factors'!G15</f>
        <v>0.26680000000000004</v>
      </c>
      <c r="BZ83" s="50">
        <f>'CZ07 Factors'!H15</f>
        <v>0.216</v>
      </c>
      <c r="CA83" s="54">
        <f>'CZ07 Factors'!I15</f>
        <v>0.25724999999999998</v>
      </c>
      <c r="CB83" s="50">
        <f>'CZ07 Factors'!J15</f>
        <v>0.31249999999999994</v>
      </c>
      <c r="CC83" s="56">
        <f>'CZ07 Factors'!K15</f>
        <v>0.21149999999999999</v>
      </c>
      <c r="CE83" s="59">
        <v>2</v>
      </c>
      <c r="CF83" s="49">
        <f>'CZ08 Factors'!D15</f>
        <v>0.192</v>
      </c>
      <c r="CG83" s="54">
        <f>'CZ08 Factors'!E15</f>
        <v>0.27</v>
      </c>
      <c r="CH83" s="50">
        <f>'CZ08 Factors'!F15</f>
        <v>0.41400000000000003</v>
      </c>
      <c r="CI83" s="54">
        <f>'CZ08 Factors'!G15</f>
        <v>0.30450000000000005</v>
      </c>
      <c r="CJ83" s="50">
        <f>'CZ08 Factors'!H15</f>
        <v>0.17600000000000002</v>
      </c>
      <c r="CK83" s="54">
        <f>'CZ08 Factors'!I15</f>
        <v>0.46200000000000002</v>
      </c>
      <c r="CL83" s="50">
        <f>'CZ08 Factors'!J15</f>
        <v>0.74399999999999999</v>
      </c>
      <c r="CM83" s="56">
        <f>'CZ08 Factors'!K15</f>
        <v>0.40850000000000009</v>
      </c>
    </row>
    <row r="84" spans="1:91" x14ac:dyDescent="0.25">
      <c r="A84" s="24"/>
      <c r="B84" s="24"/>
      <c r="C84" s="30" t="s">
        <v>305</v>
      </c>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row>
    <row r="85" spans="1:91"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row>
    <row r="86" spans="1:91" ht="13" x14ac:dyDescent="0.3">
      <c r="A86" s="24"/>
      <c r="B86" s="67">
        <v>2100</v>
      </c>
      <c r="C86" s="130" t="s">
        <v>306</v>
      </c>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row>
    <row r="87" spans="1:91" ht="13" x14ac:dyDescent="0.3">
      <c r="A87" s="24"/>
      <c r="B87" s="26" t="s">
        <v>307</v>
      </c>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row>
    <row r="88" spans="1:91" x14ac:dyDescent="0.25">
      <c r="A88" s="24"/>
      <c r="B88" s="181"/>
      <c r="C88" s="181"/>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row>
    <row r="89" spans="1:91" ht="15.5" x14ac:dyDescent="0.35">
      <c r="A89" s="24"/>
      <c r="B89" s="69" t="s">
        <v>308</v>
      </c>
      <c r="C89" s="68" t="s">
        <v>309</v>
      </c>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row>
    <row r="90" spans="1:91" ht="13" x14ac:dyDescent="0.3">
      <c r="A90" s="24"/>
      <c r="C90" s="26" t="s">
        <v>310</v>
      </c>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row>
    <row r="91" spans="1:91" x14ac:dyDescent="0.25">
      <c r="A91" s="24"/>
      <c r="D91" s="33"/>
      <c r="E91" s="33"/>
      <c r="F91" s="33"/>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row>
    <row r="92" spans="1:91" ht="13" x14ac:dyDescent="0.3">
      <c r="A92" s="24"/>
      <c r="C92" s="1" t="s">
        <v>290</v>
      </c>
      <c r="L92" s="24"/>
      <c r="M92" s="1" t="s">
        <v>291</v>
      </c>
      <c r="V92" s="24"/>
      <c r="W92" s="1" t="s">
        <v>292</v>
      </c>
      <c r="AF92" s="24"/>
      <c r="AG92" s="1" t="s">
        <v>293</v>
      </c>
      <c r="AP92" s="24"/>
      <c r="AQ92" s="1" t="s">
        <v>294</v>
      </c>
      <c r="BA92" s="1" t="s">
        <v>294</v>
      </c>
      <c r="BJ92" s="24"/>
      <c r="BK92" s="1" t="s">
        <v>295</v>
      </c>
      <c r="BT92" s="24"/>
      <c r="BU92" s="1" t="s">
        <v>296</v>
      </c>
      <c r="CD92" s="24"/>
      <c r="CE92" s="1" t="s">
        <v>297</v>
      </c>
    </row>
    <row r="93" spans="1:91" x14ac:dyDescent="0.25">
      <c r="A93" s="24"/>
      <c r="C93" s="123"/>
      <c r="D93" s="46" t="s">
        <v>277</v>
      </c>
      <c r="E93" s="44" t="s">
        <v>278</v>
      </c>
      <c r="F93" s="44" t="s">
        <v>279</v>
      </c>
      <c r="G93" s="44" t="s">
        <v>280</v>
      </c>
      <c r="H93" s="44" t="s">
        <v>281</v>
      </c>
      <c r="I93" s="44" t="s">
        <v>282</v>
      </c>
      <c r="J93" s="44" t="s">
        <v>283</v>
      </c>
      <c r="K93" s="45" t="s">
        <v>284</v>
      </c>
      <c r="L93" s="24"/>
      <c r="M93" s="123"/>
      <c r="N93" s="46" t="s">
        <v>277</v>
      </c>
      <c r="O93" s="44" t="s">
        <v>278</v>
      </c>
      <c r="P93" s="44" t="s">
        <v>279</v>
      </c>
      <c r="Q93" s="44" t="s">
        <v>280</v>
      </c>
      <c r="R93" s="44" t="s">
        <v>281</v>
      </c>
      <c r="S93" s="44" t="s">
        <v>282</v>
      </c>
      <c r="T93" s="44" t="s">
        <v>283</v>
      </c>
      <c r="U93" s="45" t="s">
        <v>284</v>
      </c>
      <c r="W93" s="123"/>
      <c r="X93" s="46" t="s">
        <v>277</v>
      </c>
      <c r="Y93" s="44" t="s">
        <v>278</v>
      </c>
      <c r="Z93" s="44" t="s">
        <v>279</v>
      </c>
      <c r="AA93" s="44" t="s">
        <v>280</v>
      </c>
      <c r="AB93" s="44" t="s">
        <v>281</v>
      </c>
      <c r="AC93" s="44" t="s">
        <v>282</v>
      </c>
      <c r="AD93" s="44" t="s">
        <v>283</v>
      </c>
      <c r="AE93" s="45" t="s">
        <v>284</v>
      </c>
      <c r="AG93" s="123"/>
      <c r="AH93" s="46" t="s">
        <v>277</v>
      </c>
      <c r="AI93" s="44" t="s">
        <v>278</v>
      </c>
      <c r="AJ93" s="44" t="s">
        <v>279</v>
      </c>
      <c r="AK93" s="44" t="s">
        <v>280</v>
      </c>
      <c r="AL93" s="44" t="s">
        <v>281</v>
      </c>
      <c r="AM93" s="44" t="s">
        <v>282</v>
      </c>
      <c r="AN93" s="44" t="s">
        <v>283</v>
      </c>
      <c r="AO93" s="45" t="s">
        <v>284</v>
      </c>
      <c r="AQ93" s="123"/>
      <c r="AR93" s="46" t="s">
        <v>277</v>
      </c>
      <c r="AS93" s="44" t="s">
        <v>278</v>
      </c>
      <c r="AT93" s="44" t="s">
        <v>279</v>
      </c>
      <c r="AU93" s="44" t="s">
        <v>280</v>
      </c>
      <c r="AV93" s="44" t="s">
        <v>281</v>
      </c>
      <c r="AW93" s="44" t="s">
        <v>282</v>
      </c>
      <c r="AX93" s="44" t="s">
        <v>283</v>
      </c>
      <c r="AY93" s="45" t="s">
        <v>284</v>
      </c>
      <c r="AZ93" s="200"/>
      <c r="BA93" s="123"/>
      <c r="BB93" s="46" t="s">
        <v>277</v>
      </c>
      <c r="BC93" s="44" t="s">
        <v>278</v>
      </c>
      <c r="BD93" s="44" t="s">
        <v>279</v>
      </c>
      <c r="BE93" s="44" t="s">
        <v>280</v>
      </c>
      <c r="BF93" s="44" t="s">
        <v>281</v>
      </c>
      <c r="BG93" s="44" t="s">
        <v>282</v>
      </c>
      <c r="BH93" s="44" t="s">
        <v>283</v>
      </c>
      <c r="BI93" s="45" t="s">
        <v>284</v>
      </c>
      <c r="BK93" s="123"/>
      <c r="BL93" s="46" t="s">
        <v>277</v>
      </c>
      <c r="BM93" s="44" t="s">
        <v>278</v>
      </c>
      <c r="BN93" s="44" t="s">
        <v>279</v>
      </c>
      <c r="BO93" s="44" t="s">
        <v>280</v>
      </c>
      <c r="BP93" s="44" t="s">
        <v>281</v>
      </c>
      <c r="BQ93" s="44" t="s">
        <v>282</v>
      </c>
      <c r="BR93" s="44" t="s">
        <v>283</v>
      </c>
      <c r="BS93" s="45" t="s">
        <v>284</v>
      </c>
      <c r="BU93" s="123"/>
      <c r="BV93" s="46" t="s">
        <v>277</v>
      </c>
      <c r="BW93" s="44" t="s">
        <v>278</v>
      </c>
      <c r="BX93" s="44" t="s">
        <v>279</v>
      </c>
      <c r="BY93" s="44" t="s">
        <v>280</v>
      </c>
      <c r="BZ93" s="44" t="s">
        <v>281</v>
      </c>
      <c r="CA93" s="44" t="s">
        <v>282</v>
      </c>
      <c r="CB93" s="44" t="s">
        <v>283</v>
      </c>
      <c r="CC93" s="45" t="s">
        <v>284</v>
      </c>
      <c r="CE93" s="123"/>
      <c r="CF93" s="46" t="s">
        <v>277</v>
      </c>
      <c r="CG93" s="44" t="s">
        <v>278</v>
      </c>
      <c r="CH93" s="44" t="s">
        <v>279</v>
      </c>
      <c r="CI93" s="44" t="s">
        <v>280</v>
      </c>
      <c r="CJ93" s="44" t="s">
        <v>281</v>
      </c>
      <c r="CK93" s="44" t="s">
        <v>282</v>
      </c>
      <c r="CL93" s="44" t="s">
        <v>283</v>
      </c>
      <c r="CM93" s="45" t="s">
        <v>284</v>
      </c>
    </row>
    <row r="94" spans="1:91" x14ac:dyDescent="0.25">
      <c r="A94" s="24"/>
      <c r="C94" s="47" t="s">
        <v>304</v>
      </c>
      <c r="D94" s="124">
        <v>0</v>
      </c>
      <c r="E94" s="125">
        <v>45</v>
      </c>
      <c r="F94" s="126">
        <v>90</v>
      </c>
      <c r="G94" s="125">
        <v>135</v>
      </c>
      <c r="H94" s="126">
        <v>180</v>
      </c>
      <c r="I94" s="125">
        <v>225</v>
      </c>
      <c r="J94" s="126">
        <v>270</v>
      </c>
      <c r="K94" s="127">
        <v>315</v>
      </c>
      <c r="L94" s="24"/>
      <c r="M94" s="47" t="s">
        <v>304</v>
      </c>
      <c r="N94" s="124">
        <v>0</v>
      </c>
      <c r="O94" s="125">
        <v>45</v>
      </c>
      <c r="P94" s="126">
        <v>90</v>
      </c>
      <c r="Q94" s="125">
        <v>135</v>
      </c>
      <c r="R94" s="126">
        <v>180</v>
      </c>
      <c r="S94" s="125">
        <v>225</v>
      </c>
      <c r="T94" s="126">
        <v>270</v>
      </c>
      <c r="U94" s="127">
        <v>315</v>
      </c>
      <c r="W94" s="47" t="s">
        <v>304</v>
      </c>
      <c r="X94" s="124">
        <v>0</v>
      </c>
      <c r="Y94" s="125">
        <v>45</v>
      </c>
      <c r="Z94" s="126">
        <v>90</v>
      </c>
      <c r="AA94" s="125">
        <v>135</v>
      </c>
      <c r="AB94" s="126">
        <v>180</v>
      </c>
      <c r="AC94" s="125">
        <v>225</v>
      </c>
      <c r="AD94" s="126">
        <v>270</v>
      </c>
      <c r="AE94" s="127">
        <v>315</v>
      </c>
      <c r="AG94" s="47" t="s">
        <v>304</v>
      </c>
      <c r="AH94" s="124">
        <v>0</v>
      </c>
      <c r="AI94" s="125">
        <v>45</v>
      </c>
      <c r="AJ94" s="126">
        <v>90</v>
      </c>
      <c r="AK94" s="125">
        <v>135</v>
      </c>
      <c r="AL94" s="126">
        <v>180</v>
      </c>
      <c r="AM94" s="125">
        <v>225</v>
      </c>
      <c r="AN94" s="126">
        <v>270</v>
      </c>
      <c r="AO94" s="127">
        <v>315</v>
      </c>
      <c r="AQ94" s="47" t="s">
        <v>304</v>
      </c>
      <c r="AR94" s="124">
        <v>0</v>
      </c>
      <c r="AS94" s="125">
        <v>45</v>
      </c>
      <c r="AT94" s="126">
        <v>90</v>
      </c>
      <c r="AU94" s="125">
        <v>135</v>
      </c>
      <c r="AV94" s="126">
        <v>180</v>
      </c>
      <c r="AW94" s="125">
        <v>225</v>
      </c>
      <c r="AX94" s="126">
        <v>270</v>
      </c>
      <c r="AY94" s="127">
        <v>315</v>
      </c>
      <c r="AZ94" s="201"/>
      <c r="BA94" s="47" t="s">
        <v>304</v>
      </c>
      <c r="BB94" s="124">
        <v>0</v>
      </c>
      <c r="BC94" s="125">
        <v>45</v>
      </c>
      <c r="BD94" s="126">
        <v>90</v>
      </c>
      <c r="BE94" s="125">
        <v>135</v>
      </c>
      <c r="BF94" s="126">
        <v>180</v>
      </c>
      <c r="BG94" s="125">
        <v>225</v>
      </c>
      <c r="BH94" s="126">
        <v>270</v>
      </c>
      <c r="BI94" s="127">
        <v>315</v>
      </c>
      <c r="BK94" s="47" t="s">
        <v>304</v>
      </c>
      <c r="BL94" s="124">
        <v>0</v>
      </c>
      <c r="BM94" s="125">
        <v>45</v>
      </c>
      <c r="BN94" s="126">
        <v>90</v>
      </c>
      <c r="BO94" s="125">
        <v>135</v>
      </c>
      <c r="BP94" s="126">
        <v>180</v>
      </c>
      <c r="BQ94" s="125">
        <v>225</v>
      </c>
      <c r="BR94" s="126">
        <v>270</v>
      </c>
      <c r="BS94" s="127">
        <v>315</v>
      </c>
      <c r="BU94" s="47" t="s">
        <v>304</v>
      </c>
      <c r="BV94" s="124">
        <v>0</v>
      </c>
      <c r="BW94" s="125">
        <v>45</v>
      </c>
      <c r="BX94" s="126">
        <v>90</v>
      </c>
      <c r="BY94" s="125">
        <v>135</v>
      </c>
      <c r="BZ94" s="126">
        <v>180</v>
      </c>
      <c r="CA94" s="125">
        <v>225</v>
      </c>
      <c r="CB94" s="126">
        <v>270</v>
      </c>
      <c r="CC94" s="127">
        <v>315</v>
      </c>
      <c r="CE94" s="47" t="s">
        <v>304</v>
      </c>
      <c r="CF94" s="124">
        <v>0</v>
      </c>
      <c r="CG94" s="125">
        <v>45</v>
      </c>
      <c r="CH94" s="126">
        <v>90</v>
      </c>
      <c r="CI94" s="125">
        <v>135</v>
      </c>
      <c r="CJ94" s="126">
        <v>180</v>
      </c>
      <c r="CK94" s="125">
        <v>225</v>
      </c>
      <c r="CL94" s="126">
        <v>270</v>
      </c>
      <c r="CM94" s="127">
        <v>315</v>
      </c>
    </row>
    <row r="95" spans="1:91" ht="13" x14ac:dyDescent="0.3">
      <c r="A95" s="24"/>
      <c r="C95" s="131">
        <v>0</v>
      </c>
      <c r="D95" s="51"/>
      <c r="E95" s="61"/>
      <c r="F95" s="52"/>
      <c r="G95" s="61"/>
      <c r="H95" s="52"/>
      <c r="I95" s="61"/>
      <c r="J95" s="52"/>
      <c r="K95" s="62"/>
      <c r="L95" s="24"/>
      <c r="M95" s="131">
        <v>0</v>
      </c>
      <c r="N95" s="51">
        <f>'CZ02 Factors'!D21</f>
        <v>1.4880000000000002</v>
      </c>
      <c r="O95" s="61">
        <f>'CZ02 Factors'!E21</f>
        <v>1.476</v>
      </c>
      <c r="P95" s="52">
        <f>'CZ02 Factors'!F21</f>
        <v>1.075</v>
      </c>
      <c r="Q95" s="61">
        <f>'CZ02 Factors'!G21</f>
        <v>0.47000000000000003</v>
      </c>
      <c r="R95" s="52">
        <f>'CZ02 Factors'!H21</f>
        <v>0.40700000000000003</v>
      </c>
      <c r="S95" s="61">
        <f>'CZ02 Factors'!I21</f>
        <v>0.46124999999999994</v>
      </c>
      <c r="T95" s="52">
        <f>'CZ02 Factors'!J21</f>
        <v>1.0465</v>
      </c>
      <c r="U95" s="62">
        <f>'CZ02 Factors'!K21</f>
        <v>1.4430000000000001</v>
      </c>
      <c r="V95" s="24"/>
      <c r="W95" s="131">
        <v>0</v>
      </c>
      <c r="X95" s="51">
        <f>'CZ03 Factors'!D21</f>
        <v>1.3632</v>
      </c>
      <c r="Y95" s="61">
        <f>'CZ03 Factors'!E21</f>
        <v>1.1621999999999999</v>
      </c>
      <c r="Z95" s="52">
        <f>'CZ03 Factors'!F21</f>
        <v>0.748</v>
      </c>
      <c r="AA95" s="61">
        <f>'CZ03 Factors'!G21</f>
        <v>0.37760000000000005</v>
      </c>
      <c r="AB95" s="52">
        <f>'CZ03 Factors'!H21</f>
        <v>0.3775</v>
      </c>
      <c r="AC95" s="61">
        <f>'CZ03 Factors'!I21</f>
        <v>0.43064999999999998</v>
      </c>
      <c r="AD95" s="52">
        <f>'CZ03 Factors'!J21</f>
        <v>1.0449999999999999</v>
      </c>
      <c r="AE95" s="62">
        <f>'CZ03 Factors'!K21</f>
        <v>1.4118000000000002</v>
      </c>
      <c r="AF95" s="24"/>
      <c r="AG95" s="131">
        <v>0</v>
      </c>
      <c r="AH95" s="51">
        <f>'CZ04 Factors'!D21</f>
        <v>1.4775</v>
      </c>
      <c r="AI95" s="61">
        <f>'CZ04 Factors'!E21</f>
        <v>1.3967500000000002</v>
      </c>
      <c r="AJ95" s="52">
        <f>'CZ04 Factors'!F21</f>
        <v>0.91300000000000003</v>
      </c>
      <c r="AK95" s="61">
        <f>'CZ04 Factors'!G21</f>
        <v>0.46800000000000003</v>
      </c>
      <c r="AL95" s="52">
        <f>'CZ04 Factors'!H21</f>
        <v>0.45499999999999996</v>
      </c>
      <c r="AM95" s="61">
        <f>'CZ04 Factors'!I21</f>
        <v>0.50700000000000001</v>
      </c>
      <c r="AN95" s="52">
        <f>'CZ04 Factors'!J21</f>
        <v>1.105</v>
      </c>
      <c r="AO95" s="62">
        <f>'CZ04 Factors'!K21</f>
        <v>1.5682499999999999</v>
      </c>
      <c r="AP95" s="24"/>
      <c r="AQ95" s="131">
        <v>0</v>
      </c>
      <c r="AR95" s="51">
        <f>'CZ05 Factors'!D21</f>
        <v>1.6079999999999999</v>
      </c>
      <c r="AS95" s="61">
        <f>'CZ05 Factors'!E21</f>
        <v>1.554</v>
      </c>
      <c r="AT95" s="52">
        <f>'CZ05 Factors'!F21</f>
        <v>1.0010000000000001</v>
      </c>
      <c r="AU95" s="61">
        <f>'CZ05 Factors'!G21</f>
        <v>0.4875000000000001</v>
      </c>
      <c r="AV95" s="52">
        <f>'CZ05 Factors'!H21</f>
        <v>0.44400000000000001</v>
      </c>
      <c r="AW95" s="61">
        <f>'CZ05 Factors'!I21</f>
        <v>0.46800000000000008</v>
      </c>
      <c r="AX95" s="52">
        <f>'CZ05 Factors'!J21</f>
        <v>1.02</v>
      </c>
      <c r="AY95" s="62">
        <f>'CZ05 Factors'!K21</f>
        <v>1.58</v>
      </c>
      <c r="AZ95" s="202"/>
      <c r="BA95" s="131">
        <v>0</v>
      </c>
      <c r="BB95" s="51">
        <f>'CZ05 BC Factors'!D21</f>
        <v>1.6079999999999999</v>
      </c>
      <c r="BC95" s="61">
        <f>'CZ05 BC Factors'!E21</f>
        <v>1.554</v>
      </c>
      <c r="BD95" s="52">
        <f>'CZ05 BC Factors'!F21</f>
        <v>1.0010000000000001</v>
      </c>
      <c r="BE95" s="61">
        <f>'CZ05 BC Factors'!G21</f>
        <v>0.42900000000000005</v>
      </c>
      <c r="BF95" s="52">
        <f>'CZ05 BC Factors'!H21</f>
        <v>0.33300000000000002</v>
      </c>
      <c r="BG95" s="61">
        <f>'CZ05 BC Factors'!I21</f>
        <v>0.42900000000000005</v>
      </c>
      <c r="BH95" s="52">
        <f>'CZ05 BC Factors'!J21</f>
        <v>1.105</v>
      </c>
      <c r="BI95" s="62">
        <f>'CZ05 BC Factors'!K21</f>
        <v>1.6589999999999998</v>
      </c>
      <c r="BJ95" s="24"/>
      <c r="BK95" s="131">
        <v>0</v>
      </c>
      <c r="BL95" s="51">
        <f>'CZ06 Factors'!D21</f>
        <v>1.52</v>
      </c>
      <c r="BM95" s="61">
        <f>'CZ06 Factors'!E21</f>
        <v>1.4400000000000002</v>
      </c>
      <c r="BN95" s="52">
        <f>'CZ06 Factors'!F21</f>
        <v>1.2800000000000002</v>
      </c>
      <c r="BO95" s="61">
        <f>'CZ06 Factors'!G21</f>
        <v>0.76500000000000012</v>
      </c>
      <c r="BP95" s="52">
        <f>'CZ06 Factors'!H21</f>
        <v>0.77400000000000002</v>
      </c>
      <c r="BQ95" s="61">
        <f>'CZ06 Factors'!I21</f>
        <v>0.74250000000000005</v>
      </c>
      <c r="BR95" s="52">
        <f>'CZ06 Factors'!J21</f>
        <v>1.32</v>
      </c>
      <c r="BS95" s="62">
        <f>'CZ06 Factors'!K21</f>
        <v>1.4533333333333334</v>
      </c>
      <c r="BT95" s="24"/>
      <c r="BU95" s="131">
        <v>0</v>
      </c>
      <c r="BV95" s="51">
        <f>'CZ07 Factors'!D21</f>
        <v>1.8720000000000001</v>
      </c>
      <c r="BW95" s="61">
        <f>'CZ07 Factors'!E21</f>
        <v>1.9152499999999999</v>
      </c>
      <c r="BX95" s="52">
        <f>'CZ07 Factors'!F21</f>
        <v>1.2035</v>
      </c>
      <c r="BY95" s="61">
        <f>'CZ07 Factors'!G21</f>
        <v>0.52249999999999996</v>
      </c>
      <c r="BZ95" s="52">
        <f>'CZ07 Factors'!H21</f>
        <v>0.45499999999999996</v>
      </c>
      <c r="CA95" s="61">
        <f>'CZ07 Factors'!I21</f>
        <v>0.53200000000000003</v>
      </c>
      <c r="CB95" s="52">
        <f>'CZ07 Factors'!J21</f>
        <v>1.125</v>
      </c>
      <c r="CC95" s="62">
        <f>'CZ07 Factors'!K21</f>
        <v>1.8</v>
      </c>
      <c r="CD95" s="24"/>
      <c r="CE95" s="131">
        <v>0</v>
      </c>
      <c r="CF95" s="51">
        <f>'CZ08 Factors'!D21</f>
        <v>2.2967</v>
      </c>
      <c r="CG95" s="61">
        <f>'CZ08 Factors'!E21</f>
        <v>2.3975999999999997</v>
      </c>
      <c r="CH95" s="52">
        <f>'CZ08 Factors'!F21</f>
        <v>1.6604999999999999</v>
      </c>
      <c r="CI95" s="61">
        <f>'CZ08 Factors'!G21</f>
        <v>0.66974999999999985</v>
      </c>
      <c r="CJ95" s="52">
        <f>'CZ08 Factors'!H21</f>
        <v>0.36000000000000004</v>
      </c>
      <c r="CK95" s="61">
        <f>'CZ08 Factors'!I21</f>
        <v>0.64859999999999995</v>
      </c>
      <c r="CL95" s="52">
        <f>'CZ08 Factors'!J21</f>
        <v>1.5876000000000001</v>
      </c>
      <c r="CM95" s="62">
        <f>'CZ08 Factors'!K21</f>
        <v>2.2995000000000001</v>
      </c>
    </row>
    <row r="96" spans="1:91" x14ac:dyDescent="0.25">
      <c r="A96" s="24"/>
      <c r="C96" s="60">
        <v>0.05</v>
      </c>
      <c r="D96" s="89"/>
      <c r="E96" s="90"/>
      <c r="F96" s="91"/>
      <c r="G96" s="90"/>
      <c r="H96" s="91"/>
      <c r="I96" s="90"/>
      <c r="J96" s="91"/>
      <c r="K96" s="92"/>
      <c r="L96" s="24"/>
      <c r="M96" s="60">
        <v>0.05</v>
      </c>
      <c r="N96" s="89">
        <f>'CZ02 Factors'!D22</f>
        <v>1.4400000000000002</v>
      </c>
      <c r="O96" s="90">
        <f>'CZ02 Factors'!E22</f>
        <v>1.40425</v>
      </c>
      <c r="P96" s="91">
        <f>'CZ02 Factors'!F22</f>
        <v>1</v>
      </c>
      <c r="Q96" s="90">
        <f>'CZ02 Factors'!G22</f>
        <v>0.39950000000000002</v>
      </c>
      <c r="R96" s="91">
        <f>'CZ02 Factors'!H22</f>
        <v>0.34100000000000003</v>
      </c>
      <c r="S96" s="90">
        <f>'CZ02 Factors'!I22</f>
        <v>0.40499999999999997</v>
      </c>
      <c r="T96" s="91">
        <f>'CZ02 Factors'!J22</f>
        <v>0.96599999999999997</v>
      </c>
      <c r="U96" s="92">
        <f>'CZ02 Factors'!K22</f>
        <v>1.3845000000000001</v>
      </c>
      <c r="V96" s="24"/>
      <c r="W96" s="60">
        <v>0.05</v>
      </c>
      <c r="X96" s="89">
        <f>'CZ03 Factors'!D22</f>
        <v>1.349</v>
      </c>
      <c r="Y96" s="90">
        <f>'CZ03 Factors'!E22</f>
        <v>1.1231999999999998</v>
      </c>
      <c r="Z96" s="91">
        <f>'CZ03 Factors'!F22</f>
        <v>0.69699999999999995</v>
      </c>
      <c r="AA96" s="90">
        <f>'CZ03 Factors'!G22</f>
        <v>0.33040000000000008</v>
      </c>
      <c r="AB96" s="91">
        <f>'CZ03 Factors'!H22</f>
        <v>0.3322</v>
      </c>
      <c r="AC96" s="90">
        <f>'CZ03 Factors'!I22</f>
        <v>0.37844999999999995</v>
      </c>
      <c r="AD96" s="91">
        <f>'CZ03 Factors'!J22</f>
        <v>1.0010000000000001</v>
      </c>
      <c r="AE96" s="92">
        <f>'CZ03 Factors'!K22</f>
        <v>1.3756000000000002</v>
      </c>
      <c r="AF96" s="24"/>
      <c r="AG96" s="60">
        <v>0.05</v>
      </c>
      <c r="AH96" s="89">
        <f>'CZ04 Factors'!D22</f>
        <v>1.4475</v>
      </c>
      <c r="AI96" s="90">
        <f>'CZ04 Factors'!E22</f>
        <v>1.3412500000000003</v>
      </c>
      <c r="AJ96" s="91">
        <f>'CZ04 Factors'!F22</f>
        <v>0.83600000000000008</v>
      </c>
      <c r="AK96" s="90">
        <f>'CZ04 Factors'!G22</f>
        <v>0.39600000000000002</v>
      </c>
      <c r="AL96" s="91">
        <f>'CZ04 Factors'!H22</f>
        <v>0.37699999999999995</v>
      </c>
      <c r="AM96" s="90">
        <f>'CZ04 Factors'!I22</f>
        <v>0.42899999999999999</v>
      </c>
      <c r="AN96" s="91">
        <f>'CZ04 Factors'!J22</f>
        <v>1.0269999999999999</v>
      </c>
      <c r="AO96" s="92">
        <f>'CZ04 Factors'!K22</f>
        <v>1.5067499999999998</v>
      </c>
      <c r="AP96" s="24"/>
      <c r="AQ96" s="60">
        <v>0.05</v>
      </c>
      <c r="AR96" s="89">
        <f>'CZ05 Factors'!D22</f>
        <v>1.56</v>
      </c>
      <c r="AS96" s="90">
        <f>'CZ05 Factors'!E22</f>
        <v>1.4910000000000001</v>
      </c>
      <c r="AT96" s="91">
        <f>'CZ05 Factors'!F22</f>
        <v>0.91</v>
      </c>
      <c r="AU96" s="90">
        <f>'CZ05 Factors'!G22</f>
        <v>0.41250000000000009</v>
      </c>
      <c r="AV96" s="91">
        <f>'CZ05 Factors'!H22</f>
        <v>0.372</v>
      </c>
      <c r="AW96" s="90">
        <f>'CZ05 Factors'!I22</f>
        <v>0.39600000000000007</v>
      </c>
      <c r="AX96" s="91">
        <f>'CZ05 Factors'!J22</f>
        <v>0.93600000000000005</v>
      </c>
      <c r="AY96" s="92">
        <f>'CZ05 Factors'!K22</f>
        <v>1.51</v>
      </c>
      <c r="AZ96" s="203"/>
      <c r="BA96" s="60">
        <v>0.05</v>
      </c>
      <c r="BB96" s="89">
        <f>'CZ05 BC Factors'!D22</f>
        <v>1.56</v>
      </c>
      <c r="BC96" s="90">
        <f>'CZ05 BC Factors'!E22</f>
        <v>1.4910000000000001</v>
      </c>
      <c r="BD96" s="91">
        <f>'CZ05 BC Factors'!F22</f>
        <v>0.91</v>
      </c>
      <c r="BE96" s="90">
        <f>'CZ05 BC Factors'!G22</f>
        <v>0.36300000000000004</v>
      </c>
      <c r="BF96" s="91">
        <f>'CZ05 BC Factors'!H22</f>
        <v>0.27900000000000003</v>
      </c>
      <c r="BG96" s="90">
        <f>'CZ05 BC Factors'!I22</f>
        <v>0.36300000000000004</v>
      </c>
      <c r="BH96" s="91">
        <f>'CZ05 BC Factors'!J22</f>
        <v>1.014</v>
      </c>
      <c r="BI96" s="92">
        <f>'CZ05 BC Factors'!K22</f>
        <v>1.5854999999999997</v>
      </c>
      <c r="BJ96" s="24"/>
      <c r="BK96" s="60">
        <v>0.05</v>
      </c>
      <c r="BL96" s="89">
        <f>'CZ06 Factors'!D22</f>
        <v>1.4720000000000002</v>
      </c>
      <c r="BM96" s="90">
        <f>'CZ06 Factors'!E22</f>
        <v>1.3594405594405599</v>
      </c>
      <c r="BN96" s="91">
        <f>'CZ06 Factors'!F22</f>
        <v>1.1680000000000001</v>
      </c>
      <c r="BO96" s="90">
        <f>'CZ06 Factors'!G22</f>
        <v>0.64600000000000013</v>
      </c>
      <c r="BP96" s="91">
        <f>'CZ06 Factors'!H22</f>
        <v>0.64800000000000002</v>
      </c>
      <c r="BQ96" s="90">
        <f>'CZ06 Factors'!I22</f>
        <v>0.627</v>
      </c>
      <c r="BR96" s="91">
        <f>'CZ06 Factors'!J22</f>
        <v>1.2150000000000001</v>
      </c>
      <c r="BS96" s="92">
        <f>'CZ06 Factors'!K22</f>
        <v>1.3773420479302831</v>
      </c>
      <c r="BT96" s="24"/>
      <c r="BU96" s="60">
        <v>0.05</v>
      </c>
      <c r="BV96" s="89">
        <f>'CZ07 Factors'!D22</f>
        <v>1.8089999999999999</v>
      </c>
      <c r="BW96" s="90">
        <f>'CZ07 Factors'!E22</f>
        <v>1.8330000000000002</v>
      </c>
      <c r="BX96" s="91">
        <f>'CZ07 Factors'!F22</f>
        <v>1.1165</v>
      </c>
      <c r="BY96" s="90">
        <f>'CZ07 Factors'!G22</f>
        <v>0.43999999999999995</v>
      </c>
      <c r="BZ96" s="91">
        <f>'CZ07 Factors'!H22</f>
        <v>0.37699999999999995</v>
      </c>
      <c r="CA96" s="90">
        <f>'CZ07 Factors'!I22</f>
        <v>0.44800000000000001</v>
      </c>
      <c r="CB96" s="91">
        <f>'CZ07 Factors'!J22</f>
        <v>1.0349999999999999</v>
      </c>
      <c r="CC96" s="92">
        <f>'CZ07 Factors'!K22</f>
        <v>1.728</v>
      </c>
      <c r="CD96" s="24"/>
      <c r="CE96" s="60">
        <v>0.05</v>
      </c>
      <c r="CF96" s="89">
        <f>'CZ08 Factors'!D22</f>
        <v>2.2253000000000003</v>
      </c>
      <c r="CG96" s="90">
        <f>'CZ08 Factors'!E22</f>
        <v>2.2841999999999998</v>
      </c>
      <c r="CH96" s="91">
        <f>'CZ08 Factors'!F22</f>
        <v>1.4964999999999997</v>
      </c>
      <c r="CI96" s="90">
        <f>'CZ08 Factors'!G22</f>
        <v>0.55574999999999997</v>
      </c>
      <c r="CJ96" s="91">
        <f>'CZ08 Factors'!H22</f>
        <v>0.30400000000000005</v>
      </c>
      <c r="CK96" s="90">
        <f>'CZ08 Factors'!I22</f>
        <v>0.53820000000000001</v>
      </c>
      <c r="CL96" s="91">
        <f>'CZ08 Factors'!J22</f>
        <v>1.4307999999999998</v>
      </c>
      <c r="CM96" s="92">
        <f>'CZ08 Factors'!K22</f>
        <v>2.1892499999999999</v>
      </c>
    </row>
    <row r="97" spans="1:92" x14ac:dyDescent="0.25">
      <c r="A97" s="24"/>
      <c r="C97" s="60">
        <v>0.1</v>
      </c>
      <c r="D97" s="89"/>
      <c r="E97" s="90"/>
      <c r="F97" s="91"/>
      <c r="G97" s="90"/>
      <c r="H97" s="91"/>
      <c r="I97" s="90"/>
      <c r="J97" s="91"/>
      <c r="K97" s="92"/>
      <c r="L97" s="24"/>
      <c r="M97" s="60">
        <v>0.1</v>
      </c>
      <c r="N97" s="89">
        <f>'CZ02 Factors'!D23</f>
        <v>1.3840000000000001</v>
      </c>
      <c r="O97" s="90">
        <f>'CZ02 Factors'!E23</f>
        <v>1.3632500000000001</v>
      </c>
      <c r="P97" s="91">
        <f>'CZ02 Factors'!F23</f>
        <v>0.95</v>
      </c>
      <c r="Q97" s="90">
        <f>'CZ02 Factors'!G23</f>
        <v>0.376</v>
      </c>
      <c r="R97" s="91">
        <f>'CZ02 Factors'!H23</f>
        <v>0.31900000000000001</v>
      </c>
      <c r="S97" s="90">
        <f>'CZ02 Factors'!I23</f>
        <v>0.38250000000000001</v>
      </c>
      <c r="T97" s="91">
        <f>'CZ02 Factors'!J23</f>
        <v>0.93149999999999999</v>
      </c>
      <c r="U97" s="92">
        <f>'CZ02 Factors'!K23</f>
        <v>1.3065000000000002</v>
      </c>
      <c r="V97" s="24"/>
      <c r="W97" s="60">
        <v>0.1</v>
      </c>
      <c r="X97" s="89">
        <f>'CZ03 Factors'!D23</f>
        <v>1.2496</v>
      </c>
      <c r="Y97" s="90">
        <f>'CZ03 Factors'!E23</f>
        <v>1.0686</v>
      </c>
      <c r="Z97" s="91">
        <f>'CZ03 Factors'!F23</f>
        <v>0.66300000000000003</v>
      </c>
      <c r="AA97" s="90">
        <f>'CZ03 Factors'!G23</f>
        <v>0.31860000000000005</v>
      </c>
      <c r="AB97" s="91">
        <f>'CZ03 Factors'!H23</f>
        <v>0.31709999999999999</v>
      </c>
      <c r="AC97" s="90">
        <f>'CZ03 Factors'!I23</f>
        <v>0.3654</v>
      </c>
      <c r="AD97" s="91">
        <f>'CZ03 Factors'!J23</f>
        <v>0.95699999999999996</v>
      </c>
      <c r="AE97" s="92">
        <f>'CZ03 Factors'!K23</f>
        <v>1.3032000000000001</v>
      </c>
      <c r="AF97" s="24"/>
      <c r="AG97" s="60">
        <v>0.1</v>
      </c>
      <c r="AH97" s="89">
        <f>'CZ04 Factors'!D23</f>
        <v>1.4325000000000001</v>
      </c>
      <c r="AI97" s="90">
        <f>'CZ04 Factors'!E23</f>
        <v>1.2950000000000002</v>
      </c>
      <c r="AJ97" s="91">
        <f>'CZ04 Factors'!F23</f>
        <v>0.81400000000000006</v>
      </c>
      <c r="AK97" s="90">
        <f>'CZ04 Factors'!G23</f>
        <v>0.372</v>
      </c>
      <c r="AL97" s="91">
        <f>'CZ04 Factors'!H23</f>
        <v>0.36400000000000005</v>
      </c>
      <c r="AM97" s="90">
        <f>'CZ04 Factors'!I23</f>
        <v>0.40299999999999997</v>
      </c>
      <c r="AN97" s="91">
        <f>'CZ04 Factors'!J23</f>
        <v>0.97499999999999998</v>
      </c>
      <c r="AO97" s="92">
        <f>'CZ04 Factors'!K23</f>
        <v>1.4554999999999998</v>
      </c>
      <c r="AP97" s="24"/>
      <c r="AQ97" s="60">
        <v>0.1</v>
      </c>
      <c r="AR97" s="89">
        <f>'CZ05 Factors'!D23</f>
        <v>1.56</v>
      </c>
      <c r="AS97" s="90">
        <f>'CZ05 Factors'!E23</f>
        <v>1.4280000000000002</v>
      </c>
      <c r="AT97" s="91">
        <f>'CZ05 Factors'!F23</f>
        <v>0.85800000000000021</v>
      </c>
      <c r="AU97" s="90">
        <f>'CZ05 Factors'!G23</f>
        <v>0.38750000000000007</v>
      </c>
      <c r="AV97" s="91">
        <f>'CZ05 Factors'!H23</f>
        <v>0.36</v>
      </c>
      <c r="AW97" s="90">
        <f>'CZ05 Factors'!I23</f>
        <v>0.38400000000000006</v>
      </c>
      <c r="AX97" s="91">
        <f>'CZ05 Factors'!J23</f>
        <v>0.9</v>
      </c>
      <c r="AY97" s="92">
        <f>'CZ05 Factors'!K23</f>
        <v>1.47</v>
      </c>
      <c r="AZ97" s="203"/>
      <c r="BA97" s="60">
        <v>0.1</v>
      </c>
      <c r="BB97" s="89">
        <f>'CZ05 BC Factors'!D23</f>
        <v>1.56</v>
      </c>
      <c r="BC97" s="90">
        <f>'CZ05 BC Factors'!E23</f>
        <v>1.4280000000000002</v>
      </c>
      <c r="BD97" s="91">
        <f>'CZ05 BC Factors'!F23</f>
        <v>0.85800000000000021</v>
      </c>
      <c r="BE97" s="90">
        <f>'CZ05 BC Factors'!G23</f>
        <v>0.34100000000000003</v>
      </c>
      <c r="BF97" s="91">
        <f>'CZ05 BC Factors'!H23</f>
        <v>0.27</v>
      </c>
      <c r="BG97" s="90">
        <f>'CZ05 BC Factors'!I23</f>
        <v>0.35200000000000004</v>
      </c>
      <c r="BH97" s="91">
        <f>'CZ05 BC Factors'!J23</f>
        <v>0.97499999999999998</v>
      </c>
      <c r="BI97" s="92">
        <f>'CZ05 BC Factors'!K23</f>
        <v>1.5434999999999997</v>
      </c>
      <c r="BJ97" s="24"/>
      <c r="BK97" s="60">
        <v>0.1</v>
      </c>
      <c r="BL97" s="89">
        <f>'CZ06 Factors'!D23</f>
        <v>1.4560000000000002</v>
      </c>
      <c r="BM97" s="90">
        <f>'CZ06 Factors'!E23</f>
        <v>1.3090909090909093</v>
      </c>
      <c r="BN97" s="91">
        <f>'CZ06 Factors'!F23</f>
        <v>1.1200000000000001</v>
      </c>
      <c r="BO97" s="90">
        <f>'CZ06 Factors'!G23</f>
        <v>0.6120000000000001</v>
      </c>
      <c r="BP97" s="91">
        <f>'CZ06 Factors'!H23</f>
        <v>0.6120000000000001</v>
      </c>
      <c r="BQ97" s="90">
        <f>'CZ06 Factors'!I23</f>
        <v>0.59399999999999997</v>
      </c>
      <c r="BR97" s="91">
        <f>'CZ06 Factors'!J23</f>
        <v>1.1400000000000001</v>
      </c>
      <c r="BS97" s="92">
        <f>'CZ06 Factors'!K23</f>
        <v>1.3488453159041394</v>
      </c>
      <c r="BT97" s="24"/>
      <c r="BU97" s="60">
        <v>0.1</v>
      </c>
      <c r="BV97" s="89">
        <f>'CZ07 Factors'!D23</f>
        <v>1.8089999999999999</v>
      </c>
      <c r="BW97" s="90">
        <f>'CZ07 Factors'!E23</f>
        <v>1.7977500000000002</v>
      </c>
      <c r="BX97" s="91">
        <f>'CZ07 Factors'!F23</f>
        <v>1.0585</v>
      </c>
      <c r="BY97" s="90">
        <f>'CZ07 Factors'!G23</f>
        <v>0.41249999999999998</v>
      </c>
      <c r="BZ97" s="91">
        <f>'CZ07 Factors'!H23</f>
        <v>0.36400000000000005</v>
      </c>
      <c r="CA97" s="90">
        <f>'CZ07 Factors'!I23</f>
        <v>0.42000000000000004</v>
      </c>
      <c r="CB97" s="91">
        <f>'CZ07 Factors'!J23</f>
        <v>0.99</v>
      </c>
      <c r="CC97" s="92">
        <f>'CZ07 Factors'!K23</f>
        <v>1.6919999999999999</v>
      </c>
      <c r="CD97" s="24"/>
      <c r="CE97" s="60">
        <v>0.1</v>
      </c>
      <c r="CF97" s="89">
        <f>'CZ08 Factors'!D23</f>
        <v>2.2015000000000002</v>
      </c>
      <c r="CG97" s="90">
        <f>'CZ08 Factors'!E23</f>
        <v>2.2031999999999998</v>
      </c>
      <c r="CH97" s="91">
        <f>'CZ08 Factors'!F23</f>
        <v>1.4349999999999996</v>
      </c>
      <c r="CI97" s="90">
        <f>'CZ08 Factors'!G23</f>
        <v>0.52724999999999989</v>
      </c>
      <c r="CJ97" s="91">
        <f>'CZ08 Factors'!H23</f>
        <v>0.27999999999999997</v>
      </c>
      <c r="CK97" s="90">
        <f>'CZ08 Factors'!I23</f>
        <v>0.51059999999999994</v>
      </c>
      <c r="CL97" s="91">
        <f>'CZ08 Factors'!J23</f>
        <v>1.3719999999999999</v>
      </c>
      <c r="CM97" s="92">
        <f>'CZ08 Factors'!K23</f>
        <v>2.1105000000000005</v>
      </c>
    </row>
    <row r="98" spans="1:92" x14ac:dyDescent="0.25">
      <c r="A98" s="24"/>
      <c r="C98" s="60">
        <v>0.2</v>
      </c>
      <c r="D98" s="89"/>
      <c r="E98" s="90"/>
      <c r="F98" s="91"/>
      <c r="G98" s="90"/>
      <c r="H98" s="91"/>
      <c r="I98" s="90"/>
      <c r="J98" s="91"/>
      <c r="K98" s="92"/>
      <c r="L98" s="24"/>
      <c r="M98" s="60">
        <v>0.2</v>
      </c>
      <c r="N98" s="89">
        <f>'CZ02 Factors'!D24</f>
        <v>1.2080000000000002</v>
      </c>
      <c r="O98" s="90">
        <f>'CZ02 Factors'!E24</f>
        <v>1.2095</v>
      </c>
      <c r="P98" s="91">
        <f>'CZ02 Factors'!F24</f>
        <v>0.85000000000000009</v>
      </c>
      <c r="Q98" s="90">
        <f>'CZ02 Factors'!G24</f>
        <v>0.34074999999999994</v>
      </c>
      <c r="R98" s="91">
        <f>'CZ02 Factors'!H24</f>
        <v>0.29700000000000004</v>
      </c>
      <c r="S98" s="90">
        <f>'CZ02 Factors'!I24</f>
        <v>0.33749999999999997</v>
      </c>
      <c r="T98" s="91">
        <f>'CZ02 Factors'!J24</f>
        <v>0.83949999999999991</v>
      </c>
      <c r="U98" s="92">
        <f>'CZ02 Factors'!K24</f>
        <v>1.17</v>
      </c>
      <c r="V98" s="24"/>
      <c r="W98" s="60">
        <v>0.2</v>
      </c>
      <c r="X98" s="89">
        <f>'CZ03 Factors'!D24</f>
        <v>1.1147</v>
      </c>
      <c r="Y98" s="90">
        <f>'CZ03 Factors'!E24</f>
        <v>0.9516</v>
      </c>
      <c r="Z98" s="91">
        <f>'CZ03 Factors'!F24</f>
        <v>0.59499999999999997</v>
      </c>
      <c r="AA98" s="90">
        <f>'CZ03 Factors'!G24</f>
        <v>0.28320000000000001</v>
      </c>
      <c r="AB98" s="91">
        <f>'CZ03 Factors'!H24</f>
        <v>0.30200000000000005</v>
      </c>
      <c r="AC98" s="90">
        <f>'CZ03 Factors'!I24</f>
        <v>0.32624999999999998</v>
      </c>
      <c r="AD98" s="91">
        <f>'CZ03 Factors'!J24</f>
        <v>0.8580000000000001</v>
      </c>
      <c r="AE98" s="92">
        <f>'CZ03 Factors'!K24</f>
        <v>1.1765000000000001</v>
      </c>
      <c r="AF98" s="24"/>
      <c r="AG98" s="60">
        <v>0.2</v>
      </c>
      <c r="AH98" s="89">
        <f>'CZ04 Factors'!D24</f>
        <v>1.2150000000000001</v>
      </c>
      <c r="AI98" s="90">
        <f>'CZ04 Factors'!E24</f>
        <v>1.1840000000000002</v>
      </c>
      <c r="AJ98" s="91">
        <f>'CZ04 Factors'!F24</f>
        <v>0.7370000000000001</v>
      </c>
      <c r="AK98" s="90">
        <f>'CZ04 Factors'!G24</f>
        <v>0.33600000000000002</v>
      </c>
      <c r="AL98" s="91">
        <f>'CZ04 Factors'!H24</f>
        <v>0.32499999999999996</v>
      </c>
      <c r="AM98" s="90">
        <f>'CZ04 Factors'!I24</f>
        <v>0.36399999999999999</v>
      </c>
      <c r="AN98" s="91">
        <f>'CZ04 Factors'!J24</f>
        <v>0.88400000000000001</v>
      </c>
      <c r="AO98" s="92">
        <f>'CZ04 Factors'!K24</f>
        <v>1.3120000000000001</v>
      </c>
      <c r="AP98" s="24"/>
      <c r="AQ98" s="60">
        <v>0.2</v>
      </c>
      <c r="AR98" s="89">
        <f>'CZ05 Factors'!D24</f>
        <v>1.304</v>
      </c>
      <c r="AS98" s="90">
        <f>'CZ05 Factors'!E24</f>
        <v>1.2705</v>
      </c>
      <c r="AT98" s="91">
        <f>'CZ05 Factors'!F24</f>
        <v>0.76700000000000002</v>
      </c>
      <c r="AU98" s="90">
        <f>'CZ05 Factors'!G24</f>
        <v>0.35000000000000009</v>
      </c>
      <c r="AV98" s="91">
        <f>'CZ05 Factors'!H24</f>
        <v>0.32400000000000007</v>
      </c>
      <c r="AW98" s="90">
        <f>'CZ05 Factors'!I24</f>
        <v>0.33600000000000008</v>
      </c>
      <c r="AX98" s="91">
        <f>'CZ05 Factors'!J24</f>
        <v>0.80400000000000005</v>
      </c>
      <c r="AY98" s="92">
        <f>'CZ05 Factors'!K24</f>
        <v>1.32</v>
      </c>
      <c r="AZ98" s="203"/>
      <c r="BA98" s="60">
        <v>0.2</v>
      </c>
      <c r="BB98" s="89">
        <f>'CZ05 BC Factors'!D24</f>
        <v>1.304</v>
      </c>
      <c r="BC98" s="90">
        <f>'CZ05 BC Factors'!E24</f>
        <v>1.2705</v>
      </c>
      <c r="BD98" s="91">
        <f>'CZ05 BC Factors'!F24</f>
        <v>0.76700000000000002</v>
      </c>
      <c r="BE98" s="90">
        <f>'CZ05 BC Factors'!G24</f>
        <v>0.30800000000000005</v>
      </c>
      <c r="BF98" s="91">
        <f>'CZ05 BC Factors'!H24</f>
        <v>0.24300000000000005</v>
      </c>
      <c r="BG98" s="90">
        <f>'CZ05 BC Factors'!I24</f>
        <v>0.30800000000000005</v>
      </c>
      <c r="BH98" s="91">
        <f>'CZ05 BC Factors'!J24</f>
        <v>0.87100000000000011</v>
      </c>
      <c r="BI98" s="92">
        <f>'CZ05 BC Factors'!K24</f>
        <v>1.3859999999999999</v>
      </c>
      <c r="BJ98" s="24"/>
      <c r="BK98" s="60">
        <v>0.2</v>
      </c>
      <c r="BL98" s="89">
        <f>'CZ06 Factors'!D24</f>
        <v>1.2480000000000002</v>
      </c>
      <c r="BM98" s="90">
        <f>'CZ06 Factors'!E24</f>
        <v>1.1781818181818182</v>
      </c>
      <c r="BN98" s="91">
        <f>'CZ06 Factors'!F24</f>
        <v>0.9920000000000001</v>
      </c>
      <c r="BO98" s="90">
        <f>'CZ06 Factors'!G24</f>
        <v>0.54400000000000015</v>
      </c>
      <c r="BP98" s="91">
        <f>'CZ06 Factors'!H24</f>
        <v>0.54</v>
      </c>
      <c r="BQ98" s="90">
        <f>'CZ06 Factors'!I24</f>
        <v>0.52800000000000002</v>
      </c>
      <c r="BR98" s="91">
        <f>'CZ06 Factors'!J24</f>
        <v>1.05</v>
      </c>
      <c r="BS98" s="92">
        <f>'CZ06 Factors'!K24</f>
        <v>1.2348583877995642</v>
      </c>
      <c r="BT98" s="24"/>
      <c r="BU98" s="60">
        <v>0.2</v>
      </c>
      <c r="BV98" s="89">
        <f>'CZ07 Factors'!D24</f>
        <v>1.7009999999999998</v>
      </c>
      <c r="BW98" s="90">
        <f>'CZ07 Factors'!E24</f>
        <v>1.68025</v>
      </c>
      <c r="BX98" s="91">
        <f>'CZ07 Factors'!F24</f>
        <v>0.9860000000000001</v>
      </c>
      <c r="BY98" s="90">
        <f>'CZ07 Factors'!G24</f>
        <v>0.37124999999999997</v>
      </c>
      <c r="BZ98" s="91">
        <f>'CZ07 Factors'!H24</f>
        <v>0.32499999999999996</v>
      </c>
      <c r="CA98" s="90">
        <f>'CZ07 Factors'!I24</f>
        <v>0.378</v>
      </c>
      <c r="CB98" s="91">
        <f>'CZ07 Factors'!J24</f>
        <v>0.89999999999999991</v>
      </c>
      <c r="CC98" s="92">
        <f>'CZ07 Factors'!K24</f>
        <v>1.536</v>
      </c>
      <c r="CD98" s="24"/>
      <c r="CE98" s="60">
        <v>0.2</v>
      </c>
      <c r="CF98" s="89">
        <f>'CZ08 Factors'!D24</f>
        <v>1.8564000000000003</v>
      </c>
      <c r="CG98" s="90">
        <f>'CZ08 Factors'!E24</f>
        <v>1.9763999999999997</v>
      </c>
      <c r="CH98" s="91">
        <f>'CZ08 Factors'!F24</f>
        <v>1.2914999999999996</v>
      </c>
      <c r="CI98" s="90">
        <f>'CZ08 Factors'!G24</f>
        <v>0.47025</v>
      </c>
      <c r="CJ98" s="91">
        <f>'CZ08 Factors'!H24</f>
        <v>0.25600000000000006</v>
      </c>
      <c r="CK98" s="90">
        <f>'CZ08 Factors'!I24</f>
        <v>0.45540000000000003</v>
      </c>
      <c r="CL98" s="91">
        <f>'CZ08 Factors'!J24</f>
        <v>1.2347999999999999</v>
      </c>
      <c r="CM98" s="92">
        <f>'CZ08 Factors'!K24</f>
        <v>1.89</v>
      </c>
    </row>
    <row r="99" spans="1:92" x14ac:dyDescent="0.25">
      <c r="A99" s="24"/>
      <c r="C99" s="60">
        <v>0.4</v>
      </c>
      <c r="D99" s="89"/>
      <c r="E99" s="90"/>
      <c r="F99" s="91"/>
      <c r="G99" s="90"/>
      <c r="H99" s="91"/>
      <c r="I99" s="90"/>
      <c r="J99" s="91"/>
      <c r="K99" s="92"/>
      <c r="L99" s="24"/>
      <c r="M99" s="60">
        <v>0.4</v>
      </c>
      <c r="N99" s="89">
        <f>'CZ02 Factors'!D25</f>
        <v>1</v>
      </c>
      <c r="O99" s="90">
        <f>'CZ02 Factors'!E25</f>
        <v>0.97375</v>
      </c>
      <c r="P99" s="91">
        <f>'CZ02 Factors'!F25</f>
        <v>0.67499999999999993</v>
      </c>
      <c r="Q99" s="90">
        <f>'CZ02 Factors'!G25</f>
        <v>0.28200000000000003</v>
      </c>
      <c r="R99" s="91">
        <f>'CZ02 Factors'!H25</f>
        <v>0.253</v>
      </c>
      <c r="S99" s="90">
        <f>'CZ02 Factors'!I25</f>
        <v>0.28124999999999994</v>
      </c>
      <c r="T99" s="91">
        <f>'CZ02 Factors'!J25</f>
        <v>0.7014999999999999</v>
      </c>
      <c r="U99" s="92">
        <f>'CZ02 Factors'!K25</f>
        <v>0.96525000000000016</v>
      </c>
      <c r="V99" s="24"/>
      <c r="W99" s="60">
        <v>0.4</v>
      </c>
      <c r="X99" s="89">
        <f>'CZ03 Factors'!D25</f>
        <v>0.88750000000000007</v>
      </c>
      <c r="Y99" s="90">
        <f>'CZ03 Factors'!E25</f>
        <v>0.77999999999999992</v>
      </c>
      <c r="Z99" s="91">
        <f>'CZ03 Factors'!F25</f>
        <v>0.51</v>
      </c>
      <c r="AA99" s="90">
        <f>'CZ03 Factors'!G25</f>
        <v>0.23600000000000004</v>
      </c>
      <c r="AB99" s="91">
        <f>'CZ03 Factors'!H25</f>
        <v>0.27179999999999999</v>
      </c>
      <c r="AC99" s="90">
        <f>'CZ03 Factors'!I25</f>
        <v>0.27404999999999996</v>
      </c>
      <c r="AD99" s="91">
        <f>'CZ03 Factors'!J25</f>
        <v>0.73699999999999999</v>
      </c>
      <c r="AE99" s="92">
        <f>'CZ03 Factors'!K25</f>
        <v>0.97740000000000005</v>
      </c>
      <c r="AF99" s="24"/>
      <c r="AG99" s="60">
        <v>0.4</v>
      </c>
      <c r="AH99" s="89">
        <f>'CZ04 Factors'!D25</f>
        <v>1.1100000000000001</v>
      </c>
      <c r="AI99" s="90">
        <f>'CZ04 Factors'!E25</f>
        <v>1.0082500000000001</v>
      </c>
      <c r="AJ99" s="91">
        <f>'CZ04 Factors'!F25</f>
        <v>0.6160000000000001</v>
      </c>
      <c r="AK99" s="90">
        <f>'CZ04 Factors'!G25</f>
        <v>0.28799999999999998</v>
      </c>
      <c r="AL99" s="91">
        <f>'CZ04 Factors'!H25</f>
        <v>0.28600000000000003</v>
      </c>
      <c r="AM99" s="90">
        <f>'CZ04 Factors'!I25</f>
        <v>0.31199999999999994</v>
      </c>
      <c r="AN99" s="91">
        <f>'CZ04 Factors'!J25</f>
        <v>0.754</v>
      </c>
      <c r="AO99" s="92">
        <f>'CZ04 Factors'!K25</f>
        <v>1.1274999999999999</v>
      </c>
      <c r="AP99" s="24"/>
      <c r="AQ99" s="60">
        <v>0.4</v>
      </c>
      <c r="AR99" s="89">
        <f>'CZ05 Factors'!D25</f>
        <v>1.1919999999999999</v>
      </c>
      <c r="AS99" s="90">
        <f>'CZ05 Factors'!E25</f>
        <v>1.05</v>
      </c>
      <c r="AT99" s="91">
        <f>'CZ05 Factors'!F25</f>
        <v>0.63700000000000001</v>
      </c>
      <c r="AU99" s="90">
        <f>'CZ05 Factors'!G25</f>
        <v>0.30000000000000004</v>
      </c>
      <c r="AV99" s="91">
        <f>'CZ05 Factors'!H25</f>
        <v>0.27599999999999997</v>
      </c>
      <c r="AW99" s="90">
        <f>'CZ05 Factors'!I25</f>
        <v>0.28800000000000003</v>
      </c>
      <c r="AX99" s="91">
        <f>'CZ05 Factors'!J25</f>
        <v>0.66</v>
      </c>
      <c r="AY99" s="92">
        <f>'CZ05 Factors'!K25</f>
        <v>1.1000000000000001</v>
      </c>
      <c r="AZ99" s="203"/>
      <c r="BA99" s="60">
        <v>0.4</v>
      </c>
      <c r="BB99" s="89">
        <f>'CZ05 BC Factors'!D25</f>
        <v>1.1919999999999999</v>
      </c>
      <c r="BC99" s="90">
        <f>'CZ05 BC Factors'!E25</f>
        <v>1.05</v>
      </c>
      <c r="BD99" s="91">
        <f>'CZ05 BC Factors'!F25</f>
        <v>0.63700000000000001</v>
      </c>
      <c r="BE99" s="90">
        <f>'CZ05 BC Factors'!G25</f>
        <v>0.26400000000000001</v>
      </c>
      <c r="BF99" s="91">
        <f>'CZ05 BC Factors'!H25</f>
        <v>0.20700000000000002</v>
      </c>
      <c r="BG99" s="90">
        <f>'CZ05 BC Factors'!I25</f>
        <v>0.26400000000000001</v>
      </c>
      <c r="BH99" s="91">
        <f>'CZ05 BC Factors'!J25</f>
        <v>0.71500000000000008</v>
      </c>
      <c r="BI99" s="92">
        <f>'CZ05 BC Factors'!K25</f>
        <v>1.155</v>
      </c>
      <c r="BJ99" s="24"/>
      <c r="BK99" s="60">
        <v>0.4</v>
      </c>
      <c r="BL99" s="89">
        <f>'CZ06 Factors'!D25</f>
        <v>1.1440000000000001</v>
      </c>
      <c r="BM99" s="90">
        <f>'CZ06 Factors'!E25</f>
        <v>1.0170629370629374</v>
      </c>
      <c r="BN99" s="91">
        <f>'CZ06 Factors'!F25</f>
        <v>0.84800000000000009</v>
      </c>
      <c r="BO99" s="90">
        <f>'CZ06 Factors'!G25</f>
        <v>0.45900000000000007</v>
      </c>
      <c r="BP99" s="91">
        <f>'CZ06 Factors'!H25</f>
        <v>0.46800000000000008</v>
      </c>
      <c r="BQ99" s="90">
        <f>'CZ06 Factors'!I25</f>
        <v>0.44550000000000001</v>
      </c>
      <c r="BR99" s="91">
        <f>'CZ06 Factors'!J25</f>
        <v>0.9</v>
      </c>
      <c r="BS99" s="92">
        <f>'CZ06 Factors'!K25</f>
        <v>1.0448801742919389</v>
      </c>
      <c r="BT99" s="24"/>
      <c r="BU99" s="60">
        <v>0.4</v>
      </c>
      <c r="BV99" s="89">
        <f>'CZ07 Factors'!D25</f>
        <v>1.4580000000000002</v>
      </c>
      <c r="BW99" s="90">
        <f>'CZ07 Factors'!E25</f>
        <v>1.4570000000000001</v>
      </c>
      <c r="BX99" s="91">
        <f>'CZ07 Factors'!F25</f>
        <v>0.84100000000000008</v>
      </c>
      <c r="BY99" s="90">
        <f>'CZ07 Factors'!G25</f>
        <v>0.31624999999999998</v>
      </c>
      <c r="BZ99" s="91">
        <f>'CZ07 Factors'!H25</f>
        <v>0.27299999999999996</v>
      </c>
      <c r="CA99" s="90">
        <f>'CZ07 Factors'!I25</f>
        <v>0.32200000000000001</v>
      </c>
      <c r="CB99" s="91">
        <f>'CZ07 Factors'!J25</f>
        <v>0.75</v>
      </c>
      <c r="CC99" s="92">
        <f>'CZ07 Factors'!K25</f>
        <v>1.3559999999999999</v>
      </c>
      <c r="CD99" s="24"/>
      <c r="CE99" s="60">
        <v>0.4</v>
      </c>
      <c r="CF99" s="89">
        <f>'CZ08 Factors'!D25</f>
        <v>1.6778999999999997</v>
      </c>
      <c r="CG99" s="90">
        <f>'CZ08 Factors'!E25</f>
        <v>1.6523999999999999</v>
      </c>
      <c r="CH99" s="91">
        <f>'CZ08 Factors'!F25</f>
        <v>1.0454999999999999</v>
      </c>
      <c r="CI99" s="90">
        <f>'CZ08 Factors'!G25</f>
        <v>0.39899999999999997</v>
      </c>
      <c r="CJ99" s="91">
        <f>'CZ08 Factors'!H25</f>
        <v>0.21600000000000003</v>
      </c>
      <c r="CK99" s="90">
        <f>'CZ08 Factors'!I25</f>
        <v>0.38640000000000002</v>
      </c>
      <c r="CL99" s="91">
        <f>'CZ08 Factors'!J25</f>
        <v>0.99960000000000016</v>
      </c>
      <c r="CM99" s="92">
        <f>'CZ08 Factors'!K25</f>
        <v>1.5592500000000002</v>
      </c>
    </row>
    <row r="100" spans="1:92" x14ac:dyDescent="0.25">
      <c r="A100" s="24"/>
      <c r="C100" s="60">
        <v>0.6</v>
      </c>
      <c r="D100" s="89"/>
      <c r="E100" s="90"/>
      <c r="F100" s="91"/>
      <c r="G100" s="90"/>
      <c r="H100" s="91"/>
      <c r="I100" s="90"/>
      <c r="J100" s="91"/>
      <c r="K100" s="92"/>
      <c r="L100" s="24"/>
      <c r="M100" s="60">
        <v>0.6</v>
      </c>
      <c r="N100" s="89">
        <f>'CZ02 Factors'!D26</f>
        <v>0.83200000000000007</v>
      </c>
      <c r="O100" s="90">
        <f>'CZ02 Factors'!E26</f>
        <v>0.7995000000000001</v>
      </c>
      <c r="P100" s="91">
        <f>'CZ02 Factors'!F26</f>
        <v>0.6</v>
      </c>
      <c r="Q100" s="90">
        <f>'CZ02 Factors'!G26</f>
        <v>0.24674999999999997</v>
      </c>
      <c r="R100" s="91">
        <f>'CZ02 Factors'!H26</f>
        <v>0.22000000000000003</v>
      </c>
      <c r="S100" s="90">
        <f>'CZ02 Factors'!I26</f>
        <v>0.24749999999999997</v>
      </c>
      <c r="T100" s="91">
        <f>'CZ02 Factors'!J26</f>
        <v>0.58650000000000002</v>
      </c>
      <c r="U100" s="92">
        <f>'CZ02 Factors'!K26</f>
        <v>0.80924999999999991</v>
      </c>
      <c r="V100" s="24"/>
      <c r="W100" s="60">
        <v>0.6</v>
      </c>
      <c r="X100" s="89">
        <f>'CZ03 Factors'!D26</f>
        <v>0.66739999999999999</v>
      </c>
      <c r="Y100" s="90">
        <f>'CZ03 Factors'!E26</f>
        <v>0.60060000000000002</v>
      </c>
      <c r="Z100" s="91">
        <f>'CZ03 Factors'!F26</f>
        <v>0.40799999999999997</v>
      </c>
      <c r="AA100" s="90">
        <f>'CZ03 Factors'!G26</f>
        <v>0.21240000000000003</v>
      </c>
      <c r="AB100" s="91">
        <f>'CZ03 Factors'!H26</f>
        <v>0.25670000000000004</v>
      </c>
      <c r="AC100" s="90">
        <f>'CZ03 Factors'!I26</f>
        <v>0.23489999999999997</v>
      </c>
      <c r="AD100" s="91">
        <f>'CZ03 Factors'!J26</f>
        <v>0.59400000000000008</v>
      </c>
      <c r="AE100" s="92">
        <f>'CZ03 Factors'!K26</f>
        <v>0.78735000000000011</v>
      </c>
      <c r="AF100" s="24"/>
      <c r="AG100" s="60">
        <v>0.6</v>
      </c>
      <c r="AH100" s="89">
        <f>'CZ04 Factors'!D26</f>
        <v>0.91499999999999992</v>
      </c>
      <c r="AI100" s="90">
        <f>'CZ04 Factors'!E26</f>
        <v>0.83250000000000013</v>
      </c>
      <c r="AJ100" s="91">
        <f>'CZ04 Factors'!F26</f>
        <v>0.53900000000000003</v>
      </c>
      <c r="AK100" s="90">
        <f>'CZ04 Factors'!G26</f>
        <v>0.252</v>
      </c>
      <c r="AL100" s="91">
        <f>'CZ04 Factors'!H26</f>
        <v>0.247</v>
      </c>
      <c r="AM100" s="90">
        <f>'CZ04 Factors'!I26</f>
        <v>0.27299999999999996</v>
      </c>
      <c r="AN100" s="91">
        <f>'CZ04 Factors'!J26</f>
        <v>0.6369999999999999</v>
      </c>
      <c r="AO100" s="92">
        <f>'CZ04 Factors'!K26</f>
        <v>0.92249999999999999</v>
      </c>
      <c r="AP100" s="24"/>
      <c r="AQ100" s="60">
        <v>0.6</v>
      </c>
      <c r="AR100" s="89">
        <f>'CZ05 Factors'!D26</f>
        <v>0.96799999999999997</v>
      </c>
      <c r="AS100" s="90">
        <f>'CZ05 Factors'!E26</f>
        <v>0.87149999999999994</v>
      </c>
      <c r="AT100" s="91">
        <f>'CZ05 Factors'!F26</f>
        <v>0.52000000000000013</v>
      </c>
      <c r="AU100" s="90">
        <f>'CZ05 Factors'!G26</f>
        <v>0.26250000000000007</v>
      </c>
      <c r="AV100" s="91">
        <f>'CZ05 Factors'!H26</f>
        <v>0.252</v>
      </c>
      <c r="AW100" s="90">
        <f>'CZ05 Factors'!I26</f>
        <v>0.25200000000000006</v>
      </c>
      <c r="AX100" s="91">
        <f>'CZ05 Factors'!J26</f>
        <v>0.56400000000000006</v>
      </c>
      <c r="AY100" s="92">
        <f>'CZ05 Factors'!K26</f>
        <v>0.90000000000000013</v>
      </c>
      <c r="AZ100" s="203"/>
      <c r="BA100" s="60">
        <v>0.6</v>
      </c>
      <c r="BB100" s="89">
        <f>'CZ05 BC Factors'!D26</f>
        <v>0.96799999999999997</v>
      </c>
      <c r="BC100" s="90">
        <f>'CZ05 BC Factors'!E26</f>
        <v>0.87149999999999994</v>
      </c>
      <c r="BD100" s="91">
        <f>'CZ05 BC Factors'!F26</f>
        <v>0.52000000000000013</v>
      </c>
      <c r="BE100" s="90">
        <f>'CZ05 BC Factors'!G26</f>
        <v>0.23100000000000001</v>
      </c>
      <c r="BF100" s="91">
        <f>'CZ05 BC Factors'!H26</f>
        <v>0.189</v>
      </c>
      <c r="BG100" s="90">
        <f>'CZ05 BC Factors'!I26</f>
        <v>0.23100000000000001</v>
      </c>
      <c r="BH100" s="91">
        <f>'CZ05 BC Factors'!J26</f>
        <v>0.61099999999999999</v>
      </c>
      <c r="BI100" s="92">
        <f>'CZ05 BC Factors'!K26</f>
        <v>0.94499999999999995</v>
      </c>
      <c r="BJ100" s="24"/>
      <c r="BK100" s="60">
        <v>0.6</v>
      </c>
      <c r="BL100" s="89">
        <f>'CZ06 Factors'!D26</f>
        <v>0.97599999999999998</v>
      </c>
      <c r="BM100" s="90">
        <f>'CZ06 Factors'!E26</f>
        <v>0.86601398601398616</v>
      </c>
      <c r="BN100" s="91">
        <f>'CZ06 Factors'!F26</f>
        <v>0.7200000000000002</v>
      </c>
      <c r="BO100" s="90">
        <f>'CZ06 Factors'!G26</f>
        <v>0.39100000000000001</v>
      </c>
      <c r="BP100" s="91">
        <f>'CZ06 Factors'!H26</f>
        <v>0.41400000000000003</v>
      </c>
      <c r="BQ100" s="90">
        <f>'CZ06 Factors'!I26</f>
        <v>0.3795</v>
      </c>
      <c r="BR100" s="91">
        <f>'CZ06 Factors'!J26</f>
        <v>0.78</v>
      </c>
      <c r="BS100" s="92">
        <f>'CZ06 Factors'!K26</f>
        <v>0.90239651416122013</v>
      </c>
      <c r="BT100" s="24"/>
      <c r="BU100" s="60">
        <v>0.6</v>
      </c>
      <c r="BV100" s="89">
        <f>'CZ07 Factors'!D26</f>
        <v>1.3410000000000002</v>
      </c>
      <c r="BW100" s="90">
        <f>'CZ07 Factors'!E26</f>
        <v>1.2807500000000003</v>
      </c>
      <c r="BX100" s="91">
        <f>'CZ07 Factors'!F26</f>
        <v>0.72500000000000009</v>
      </c>
      <c r="BY100" s="90">
        <f>'CZ07 Factors'!G26</f>
        <v>0.27499999999999997</v>
      </c>
      <c r="BZ100" s="91">
        <f>'CZ07 Factors'!H26</f>
        <v>0.247</v>
      </c>
      <c r="CA100" s="90">
        <f>'CZ07 Factors'!I26</f>
        <v>0.28000000000000003</v>
      </c>
      <c r="CB100" s="91">
        <f>'CZ07 Factors'!J26</f>
        <v>0.66</v>
      </c>
      <c r="CC100" s="92">
        <f>'CZ07 Factors'!K26</f>
        <v>1.1520000000000001</v>
      </c>
      <c r="CD100" s="24"/>
      <c r="CE100" s="60">
        <v>0.6</v>
      </c>
      <c r="CF100" s="89">
        <f>'CZ08 Factors'!D26</f>
        <v>1.4041999999999999</v>
      </c>
      <c r="CG100" s="90">
        <f>'CZ08 Factors'!E26</f>
        <v>1.3445999999999998</v>
      </c>
      <c r="CH100" s="91">
        <f>'CZ08 Factors'!F26</f>
        <v>0.90199999999999991</v>
      </c>
      <c r="CI100" s="90">
        <f>'CZ08 Factors'!G26</f>
        <v>0.34199999999999992</v>
      </c>
      <c r="CJ100" s="91">
        <f>'CZ08 Factors'!H26</f>
        <v>0.19200000000000003</v>
      </c>
      <c r="CK100" s="90">
        <f>'CZ08 Factors'!I26</f>
        <v>0.33119999999999994</v>
      </c>
      <c r="CL100" s="91">
        <f>'CZ08 Factors'!J26</f>
        <v>0.86240000000000006</v>
      </c>
      <c r="CM100" s="92">
        <f>'CZ08 Factors'!K26</f>
        <v>1.2915000000000001</v>
      </c>
    </row>
    <row r="101" spans="1:92" x14ac:dyDescent="0.25">
      <c r="A101" s="24"/>
      <c r="C101" s="60">
        <v>0.8</v>
      </c>
      <c r="D101" s="89"/>
      <c r="E101" s="90"/>
      <c r="F101" s="91"/>
      <c r="G101" s="90"/>
      <c r="H101" s="91"/>
      <c r="I101" s="90"/>
      <c r="J101" s="91"/>
      <c r="K101" s="92"/>
      <c r="L101" s="24"/>
      <c r="M101" s="60">
        <v>0.8</v>
      </c>
      <c r="N101" s="89">
        <f>'CZ02 Factors'!D27</f>
        <v>0.62400000000000011</v>
      </c>
      <c r="O101" s="90">
        <f>'CZ02 Factors'!E27</f>
        <v>0.63550000000000006</v>
      </c>
      <c r="P101" s="91">
        <f>'CZ02 Factors'!F27</f>
        <v>0.48749999999999999</v>
      </c>
      <c r="Q101" s="90">
        <f>'CZ02 Factors'!G27</f>
        <v>0.21149999999999999</v>
      </c>
      <c r="R101" s="91">
        <f>'CZ02 Factors'!H27</f>
        <v>0.20899999999999999</v>
      </c>
      <c r="S101" s="90">
        <f>'CZ02 Factors'!I27</f>
        <v>0.22499999999999998</v>
      </c>
      <c r="T101" s="91">
        <f>'CZ02 Factors'!J27</f>
        <v>0.50600000000000001</v>
      </c>
      <c r="U101" s="92">
        <f>'CZ02 Factors'!K27</f>
        <v>0.66300000000000003</v>
      </c>
      <c r="V101" s="24"/>
      <c r="W101" s="60">
        <v>0.8</v>
      </c>
      <c r="X101" s="89">
        <f>'CZ03 Factors'!D27</f>
        <v>0.44729999999999998</v>
      </c>
      <c r="Y101" s="90">
        <f>'CZ03 Factors'!E27</f>
        <v>0.4758</v>
      </c>
      <c r="Z101" s="91">
        <f>'CZ03 Factors'!F27</f>
        <v>0.36549999999999999</v>
      </c>
      <c r="AA101" s="90">
        <f>'CZ03 Factors'!G27</f>
        <v>0.18880000000000002</v>
      </c>
      <c r="AB101" s="91">
        <f>'CZ03 Factors'!H27</f>
        <v>0.22649999999999998</v>
      </c>
      <c r="AC101" s="90">
        <f>'CZ03 Factors'!I27</f>
        <v>0.22184999999999999</v>
      </c>
      <c r="AD101" s="91">
        <f>'CZ03 Factors'!J27</f>
        <v>0.50600000000000001</v>
      </c>
      <c r="AE101" s="92">
        <f>'CZ03 Factors'!K27</f>
        <v>0.63350000000000006</v>
      </c>
      <c r="AF101" s="24"/>
      <c r="AG101" s="60">
        <v>0.8</v>
      </c>
      <c r="AH101" s="89">
        <f>'CZ04 Factors'!D27</f>
        <v>0.79500000000000015</v>
      </c>
      <c r="AI101" s="90">
        <f>'CZ04 Factors'!E27</f>
        <v>0.68450000000000011</v>
      </c>
      <c r="AJ101" s="91">
        <f>'CZ04 Factors'!F27</f>
        <v>0.47300000000000003</v>
      </c>
      <c r="AK101" s="90">
        <f>'CZ04 Factors'!G27</f>
        <v>0.22800000000000001</v>
      </c>
      <c r="AL101" s="91">
        <f>'CZ04 Factors'!H27</f>
        <v>0.23400000000000001</v>
      </c>
      <c r="AM101" s="90">
        <f>'CZ04 Factors'!I27</f>
        <v>0.247</v>
      </c>
      <c r="AN101" s="91">
        <f>'CZ04 Factors'!J27</f>
        <v>0.57200000000000006</v>
      </c>
      <c r="AO101" s="92">
        <f>'CZ04 Factors'!K27</f>
        <v>0.76874999999999993</v>
      </c>
      <c r="AP101" s="24"/>
      <c r="AQ101" s="60">
        <v>0.8</v>
      </c>
      <c r="AR101" s="89">
        <f>'CZ05 Factors'!D27</f>
        <v>0.78400000000000003</v>
      </c>
      <c r="AS101" s="90">
        <f>'CZ05 Factors'!E27</f>
        <v>0.71400000000000008</v>
      </c>
      <c r="AT101" s="91">
        <f>'CZ05 Factors'!F27</f>
        <v>0.45500000000000002</v>
      </c>
      <c r="AU101" s="90">
        <f>'CZ05 Factors'!G27</f>
        <v>0.23750000000000004</v>
      </c>
      <c r="AV101" s="91">
        <f>'CZ05 Factors'!H27</f>
        <v>0.22799999999999998</v>
      </c>
      <c r="AW101" s="90">
        <f>'CZ05 Factors'!I27</f>
        <v>0.22800000000000004</v>
      </c>
      <c r="AX101" s="91">
        <f>'CZ05 Factors'!J27</f>
        <v>0.504</v>
      </c>
      <c r="AY101" s="92">
        <f>'CZ05 Factors'!K27</f>
        <v>0.73</v>
      </c>
      <c r="AZ101" s="203"/>
      <c r="BA101" s="60">
        <v>0.8</v>
      </c>
      <c r="BB101" s="89">
        <f>'CZ05 BC Factors'!D27</f>
        <v>0.78400000000000003</v>
      </c>
      <c r="BC101" s="90">
        <f>'CZ05 BC Factors'!E27</f>
        <v>0.71400000000000008</v>
      </c>
      <c r="BD101" s="91">
        <f>'CZ05 BC Factors'!F27</f>
        <v>0.45500000000000002</v>
      </c>
      <c r="BE101" s="90">
        <f>'CZ05 BC Factors'!G27</f>
        <v>0.20900000000000002</v>
      </c>
      <c r="BF101" s="91">
        <f>'CZ05 BC Factors'!H27</f>
        <v>0.17100000000000001</v>
      </c>
      <c r="BG101" s="90">
        <f>'CZ05 BC Factors'!I27</f>
        <v>0.20900000000000002</v>
      </c>
      <c r="BH101" s="91">
        <f>'CZ05 BC Factors'!J27</f>
        <v>0.54600000000000004</v>
      </c>
      <c r="BI101" s="92">
        <f>'CZ05 BC Factors'!K27</f>
        <v>0.76649999999999985</v>
      </c>
      <c r="BJ101" s="24"/>
      <c r="BK101" s="60">
        <v>0.8</v>
      </c>
      <c r="BL101" s="89">
        <f>'CZ06 Factors'!D27</f>
        <v>0.86400000000000021</v>
      </c>
      <c r="BM101" s="90">
        <f>'CZ06 Factors'!E27</f>
        <v>0.73510489510489518</v>
      </c>
      <c r="BN101" s="91">
        <f>'CZ06 Factors'!F27</f>
        <v>0.6080000000000001</v>
      </c>
      <c r="BO101" s="90">
        <f>'CZ06 Factors'!G27</f>
        <v>0.35700000000000004</v>
      </c>
      <c r="BP101" s="91">
        <f>'CZ06 Factors'!H27</f>
        <v>0.378</v>
      </c>
      <c r="BQ101" s="90">
        <f>'CZ06 Factors'!I27</f>
        <v>0.36299999999999999</v>
      </c>
      <c r="BR101" s="91">
        <f>'CZ06 Factors'!J27</f>
        <v>0.69000000000000006</v>
      </c>
      <c r="BS101" s="92">
        <f>'CZ06 Factors'!K27</f>
        <v>0.75041394335511991</v>
      </c>
      <c r="BT101" s="24"/>
      <c r="BU101" s="60">
        <v>0.8</v>
      </c>
      <c r="BV101" s="89">
        <f>'CZ07 Factors'!D27</f>
        <v>1.143</v>
      </c>
      <c r="BW101" s="90">
        <f>'CZ07 Factors'!E27</f>
        <v>1.1045</v>
      </c>
      <c r="BX101" s="91">
        <f>'CZ07 Factors'!F27</f>
        <v>0.63800000000000001</v>
      </c>
      <c r="BY101" s="90">
        <f>'CZ07 Factors'!G27</f>
        <v>0.24749999999999997</v>
      </c>
      <c r="BZ101" s="91">
        <f>'CZ07 Factors'!H27</f>
        <v>0.221</v>
      </c>
      <c r="CA101" s="90">
        <f>'CZ07 Factors'!I27</f>
        <v>0.252</v>
      </c>
      <c r="CB101" s="91">
        <f>'CZ07 Factors'!J27</f>
        <v>0.58499999999999996</v>
      </c>
      <c r="CC101" s="92">
        <f>'CZ07 Factors'!K27</f>
        <v>0.996</v>
      </c>
      <c r="CD101" s="24"/>
      <c r="CE101" s="60">
        <v>0.8</v>
      </c>
      <c r="CF101" s="89">
        <f>'CZ08 Factors'!D27</f>
        <v>1.1900000000000002</v>
      </c>
      <c r="CG101" s="90">
        <f>'CZ08 Factors'!E27</f>
        <v>1.1015999999999999</v>
      </c>
      <c r="CH101" s="91">
        <f>'CZ08 Factors'!F27</f>
        <v>0.75849999999999984</v>
      </c>
      <c r="CI101" s="90">
        <f>'CZ08 Factors'!G27</f>
        <v>0.29924999999999996</v>
      </c>
      <c r="CJ101" s="91">
        <f>'CZ08 Factors'!H27</f>
        <v>0.17600000000000002</v>
      </c>
      <c r="CK101" s="90">
        <f>'CZ08 Factors'!I27</f>
        <v>0.2898</v>
      </c>
      <c r="CL101" s="91">
        <f>'CZ08 Factors'!J27</f>
        <v>0.7056</v>
      </c>
      <c r="CM101" s="92">
        <f>'CZ08 Factors'!K27</f>
        <v>1.0552500000000002</v>
      </c>
    </row>
    <row r="102" spans="1:92" ht="13" x14ac:dyDescent="0.3">
      <c r="A102" s="24"/>
      <c r="C102" s="132">
        <v>1</v>
      </c>
      <c r="D102" s="43"/>
      <c r="E102" s="53"/>
      <c r="F102" s="48"/>
      <c r="G102" s="53"/>
      <c r="H102" s="48"/>
      <c r="I102" s="53"/>
      <c r="J102" s="48"/>
      <c r="K102" s="55"/>
      <c r="L102" s="24"/>
      <c r="M102" s="132">
        <v>1</v>
      </c>
      <c r="N102" s="43">
        <f>'CZ02 Factors'!D28</f>
        <v>0.43200000000000011</v>
      </c>
      <c r="O102" s="53">
        <f>'CZ02 Factors'!E28</f>
        <v>0.54325000000000001</v>
      </c>
      <c r="P102" s="48">
        <f>'CZ02 Factors'!F28</f>
        <v>0.39999999999999997</v>
      </c>
      <c r="Q102" s="53">
        <f>'CZ02 Factors'!G28</f>
        <v>0.19975000000000001</v>
      </c>
      <c r="R102" s="48">
        <f>'CZ02 Factors'!H28</f>
        <v>0.19800000000000001</v>
      </c>
      <c r="S102" s="53">
        <f>'CZ02 Factors'!I28</f>
        <v>0.19125</v>
      </c>
      <c r="T102" s="48">
        <f>'CZ02 Factors'!J28</f>
        <v>0.42549999999999999</v>
      </c>
      <c r="U102" s="55">
        <f>'CZ02 Factors'!K28</f>
        <v>0.54600000000000004</v>
      </c>
      <c r="V102" s="24"/>
      <c r="W102" s="132">
        <v>1</v>
      </c>
      <c r="X102" s="43">
        <f>'CZ03 Factors'!D28</f>
        <v>0.29820000000000002</v>
      </c>
      <c r="Y102" s="53">
        <f>'CZ03 Factors'!E28</f>
        <v>0.40559999999999996</v>
      </c>
      <c r="Z102" s="48">
        <f>'CZ03 Factors'!F28</f>
        <v>0.29749999999999999</v>
      </c>
      <c r="AA102" s="53">
        <f>'CZ03 Factors'!G28</f>
        <v>0.16520000000000004</v>
      </c>
      <c r="AB102" s="48">
        <f>'CZ03 Factors'!H28</f>
        <v>0.21140000000000003</v>
      </c>
      <c r="AC102" s="53">
        <f>'CZ03 Factors'!I28</f>
        <v>0.20879999999999999</v>
      </c>
      <c r="AD102" s="48">
        <f>'CZ03 Factors'!J28</f>
        <v>0.45099999999999996</v>
      </c>
      <c r="AE102" s="55">
        <f>'CZ03 Factors'!K28</f>
        <v>0.50680000000000003</v>
      </c>
      <c r="AF102" s="24"/>
      <c r="AG102" s="132">
        <v>1</v>
      </c>
      <c r="AH102" s="43">
        <f>'CZ04 Factors'!D28</f>
        <v>0.63750000000000007</v>
      </c>
      <c r="AI102" s="53">
        <f>'CZ04 Factors'!E28</f>
        <v>0.61050000000000004</v>
      </c>
      <c r="AJ102" s="48">
        <f>'CZ04 Factors'!F28</f>
        <v>0.40700000000000003</v>
      </c>
      <c r="AK102" s="53">
        <f>'CZ04 Factors'!G28</f>
        <v>0.20400000000000001</v>
      </c>
      <c r="AL102" s="48">
        <f>'CZ04 Factors'!H28</f>
        <v>0.20799999999999999</v>
      </c>
      <c r="AM102" s="53">
        <f>'CZ04 Factors'!I28</f>
        <v>0.221</v>
      </c>
      <c r="AN102" s="48">
        <f>'CZ04 Factors'!J28</f>
        <v>0.48099999999999998</v>
      </c>
      <c r="AO102" s="55">
        <f>'CZ04 Factors'!K28</f>
        <v>0.65600000000000003</v>
      </c>
      <c r="AP102" s="24"/>
      <c r="AQ102" s="132">
        <v>1</v>
      </c>
      <c r="AR102" s="43">
        <f>'CZ05 Factors'!D28</f>
        <v>0.64000000000000012</v>
      </c>
      <c r="AS102" s="53">
        <f>'CZ05 Factors'!E28</f>
        <v>0.54600000000000004</v>
      </c>
      <c r="AT102" s="48">
        <f>'CZ05 Factors'!F28</f>
        <v>0.36400000000000005</v>
      </c>
      <c r="AU102" s="53">
        <f>'CZ05 Factors'!G28</f>
        <v>0.21250000000000005</v>
      </c>
      <c r="AV102" s="48">
        <f>'CZ05 Factors'!H28</f>
        <v>0.216</v>
      </c>
      <c r="AW102" s="53">
        <f>'CZ05 Factors'!I28</f>
        <v>0.20400000000000004</v>
      </c>
      <c r="AX102" s="48">
        <f>'CZ05 Factors'!J28</f>
        <v>0.432</v>
      </c>
      <c r="AY102" s="55">
        <f>'CZ05 Factors'!K28</f>
        <v>0.63</v>
      </c>
      <c r="AZ102" s="202"/>
      <c r="BA102" s="132">
        <v>1</v>
      </c>
      <c r="BB102" s="43">
        <f>'CZ05 BC Factors'!D28</f>
        <v>0.64000000000000012</v>
      </c>
      <c r="BC102" s="53">
        <f>'CZ05 BC Factors'!E28</f>
        <v>0.54600000000000004</v>
      </c>
      <c r="BD102" s="48">
        <f>'CZ05 BC Factors'!F28</f>
        <v>0.36400000000000005</v>
      </c>
      <c r="BE102" s="53">
        <f>'CZ05 BC Factors'!G28</f>
        <v>0.18700000000000003</v>
      </c>
      <c r="BF102" s="48">
        <f>'CZ05 BC Factors'!H28</f>
        <v>0.16200000000000001</v>
      </c>
      <c r="BG102" s="53">
        <f>'CZ05 BC Factors'!I28</f>
        <v>0.18700000000000003</v>
      </c>
      <c r="BH102" s="48">
        <f>'CZ05 BC Factors'!J28</f>
        <v>0.46799999999999997</v>
      </c>
      <c r="BI102" s="55">
        <f>'CZ05 BC Factors'!K28</f>
        <v>0.66149999999999987</v>
      </c>
      <c r="BJ102" s="24"/>
      <c r="BK102" s="132">
        <v>1</v>
      </c>
      <c r="BL102" s="43">
        <f>'CZ06 Factors'!D28</f>
        <v>0.68800000000000006</v>
      </c>
      <c r="BM102" s="53">
        <f>'CZ06 Factors'!E28</f>
        <v>0.58405594405594408</v>
      </c>
      <c r="BN102" s="48">
        <f>'CZ06 Factors'!F28</f>
        <v>0.54400000000000004</v>
      </c>
      <c r="BO102" s="53">
        <f>'CZ06 Factors'!G28</f>
        <v>0.32300000000000006</v>
      </c>
      <c r="BP102" s="48">
        <f>'CZ06 Factors'!H28</f>
        <v>0.34200000000000003</v>
      </c>
      <c r="BQ102" s="53">
        <f>'CZ06 Factors'!I28</f>
        <v>0.3135</v>
      </c>
      <c r="BR102" s="48">
        <f>'CZ06 Factors'!J28</f>
        <v>0.58500000000000008</v>
      </c>
      <c r="BS102" s="55">
        <f>'CZ06 Factors'!K28</f>
        <v>0.65542483660130713</v>
      </c>
      <c r="BT102" s="24"/>
      <c r="BU102" s="132">
        <v>1</v>
      </c>
      <c r="BV102" s="43">
        <f>'CZ07 Factors'!D28</f>
        <v>1.0439999999999998</v>
      </c>
      <c r="BW102" s="53">
        <f>'CZ07 Factors'!E28</f>
        <v>0.97525000000000006</v>
      </c>
      <c r="BX102" s="48">
        <f>'CZ07 Factors'!F28</f>
        <v>0.59450000000000003</v>
      </c>
      <c r="BY102" s="53">
        <f>'CZ07 Factors'!G28</f>
        <v>0.21999999999999997</v>
      </c>
      <c r="BZ102" s="48">
        <f>'CZ07 Factors'!H28</f>
        <v>0.20799999999999999</v>
      </c>
      <c r="CA102" s="53">
        <f>'CZ07 Factors'!I28</f>
        <v>0.224</v>
      </c>
      <c r="CB102" s="48">
        <f>'CZ07 Factors'!J28</f>
        <v>0.51</v>
      </c>
      <c r="CC102" s="55">
        <f>'CZ07 Factors'!K28</f>
        <v>0.85199999999999998</v>
      </c>
      <c r="CD102" s="24"/>
      <c r="CE102" s="132">
        <v>1</v>
      </c>
      <c r="CF102" s="43">
        <f>'CZ08 Factors'!D28</f>
        <v>0.94010000000000005</v>
      </c>
      <c r="CG102" s="53">
        <f>'CZ08 Factors'!E28</f>
        <v>0.95579999999999987</v>
      </c>
      <c r="CH102" s="48">
        <f>'CZ08 Factors'!F28</f>
        <v>0.65599999999999992</v>
      </c>
      <c r="CI102" s="53">
        <f>'CZ08 Factors'!G28</f>
        <v>0.28499999999999998</v>
      </c>
      <c r="CJ102" s="48">
        <f>'CZ08 Factors'!H28</f>
        <v>0.16000000000000003</v>
      </c>
      <c r="CK102" s="53">
        <f>'CZ08 Factors'!I28</f>
        <v>0.26219999999999999</v>
      </c>
      <c r="CL102" s="48">
        <f>'CZ08 Factors'!J28</f>
        <v>0.58799999999999997</v>
      </c>
      <c r="CM102" s="55">
        <f>'CZ08 Factors'!K28</f>
        <v>0.91349999999999998</v>
      </c>
    </row>
    <row r="103" spans="1:92" x14ac:dyDescent="0.25">
      <c r="A103" s="24"/>
      <c r="C103" s="60">
        <v>1.2</v>
      </c>
      <c r="D103" s="89"/>
      <c r="E103" s="90"/>
      <c r="F103" s="91"/>
      <c r="G103" s="90"/>
      <c r="H103" s="91"/>
      <c r="I103" s="90"/>
      <c r="J103" s="91"/>
      <c r="K103" s="92"/>
      <c r="L103" s="24"/>
      <c r="M103" s="60">
        <v>1.2</v>
      </c>
      <c r="N103" s="89">
        <f>'CZ02 Factors'!D29</f>
        <v>0.26400000000000007</v>
      </c>
      <c r="O103" s="90">
        <f>'CZ02 Factors'!E29</f>
        <v>0.43049999999999999</v>
      </c>
      <c r="P103" s="91">
        <f>'CZ02 Factors'!F29</f>
        <v>0.35000000000000003</v>
      </c>
      <c r="Q103" s="90">
        <f>'CZ02 Factors'!G29</f>
        <v>0.17624999999999999</v>
      </c>
      <c r="R103" s="91">
        <f>'CZ02 Factors'!H29</f>
        <v>0.18700000000000003</v>
      </c>
      <c r="S103" s="90">
        <f>'CZ02 Factors'!I29</f>
        <v>0.18</v>
      </c>
      <c r="T103" s="91">
        <f>'CZ02 Factors'!J29</f>
        <v>0.40249999999999997</v>
      </c>
      <c r="U103" s="92">
        <f>'CZ02 Factors'!K29</f>
        <v>0.44850000000000001</v>
      </c>
      <c r="V103" s="24"/>
      <c r="W103" s="60">
        <v>1.2</v>
      </c>
      <c r="X103" s="89">
        <f>'CZ03 Factors'!D29</f>
        <v>0.20589999999999997</v>
      </c>
      <c r="Y103" s="90">
        <f>'CZ03 Factors'!E29</f>
        <v>0.312</v>
      </c>
      <c r="Z103" s="91">
        <f>'CZ03 Factors'!F29</f>
        <v>0.26350000000000001</v>
      </c>
      <c r="AA103" s="90">
        <f>'CZ03 Factors'!G29</f>
        <v>0.15340000000000001</v>
      </c>
      <c r="AB103" s="91">
        <f>'CZ03 Factors'!H29</f>
        <v>0.21140000000000003</v>
      </c>
      <c r="AC103" s="90">
        <f>'CZ03 Factors'!I29</f>
        <v>0.1827</v>
      </c>
      <c r="AD103" s="91">
        <f>'CZ03 Factors'!J29</f>
        <v>0.37400000000000005</v>
      </c>
      <c r="AE103" s="92">
        <f>'CZ03 Factors'!K29</f>
        <v>0.43440000000000001</v>
      </c>
      <c r="AF103" s="24"/>
      <c r="AG103" s="60">
        <v>1.2</v>
      </c>
      <c r="AH103" s="89">
        <f>'CZ04 Factors'!D29</f>
        <v>0.45749999999999996</v>
      </c>
      <c r="AI103" s="90">
        <f>'CZ04 Factors'!E29</f>
        <v>0.47175000000000006</v>
      </c>
      <c r="AJ103" s="91">
        <f>'CZ04 Factors'!F29</f>
        <v>0.36300000000000004</v>
      </c>
      <c r="AK103" s="90">
        <f>'CZ04 Factors'!G29</f>
        <v>0.18</v>
      </c>
      <c r="AL103" s="91">
        <f>'CZ04 Factors'!H29</f>
        <v>0.20799999999999999</v>
      </c>
      <c r="AM103" s="90">
        <f>'CZ04 Factors'!I29</f>
        <v>0.20799999999999999</v>
      </c>
      <c r="AN103" s="91">
        <f>'CZ04 Factors'!J29</f>
        <v>0.442</v>
      </c>
      <c r="AO103" s="92">
        <f>'CZ04 Factors'!K29</f>
        <v>0.57400000000000007</v>
      </c>
      <c r="AP103" s="24"/>
      <c r="AQ103" s="60">
        <v>1.2</v>
      </c>
      <c r="AR103" s="89">
        <f>'CZ05 Factors'!D29</f>
        <v>0.43200000000000005</v>
      </c>
      <c r="AS103" s="90">
        <f>'CZ05 Factors'!E29</f>
        <v>0.48299999999999998</v>
      </c>
      <c r="AT103" s="91">
        <f>'CZ05 Factors'!F29</f>
        <v>0.32500000000000001</v>
      </c>
      <c r="AU103" s="90">
        <f>'CZ05 Factors'!G29</f>
        <v>0.20000000000000004</v>
      </c>
      <c r="AV103" s="91">
        <f>'CZ05 Factors'!H29</f>
        <v>0.20400000000000001</v>
      </c>
      <c r="AW103" s="90">
        <f>'CZ05 Factors'!I29</f>
        <v>0.19200000000000003</v>
      </c>
      <c r="AX103" s="91">
        <f>'CZ05 Factors'!J29</f>
        <v>0.34800000000000003</v>
      </c>
      <c r="AY103" s="92">
        <f>'CZ05 Factors'!K29</f>
        <v>0.49999999999999994</v>
      </c>
      <c r="AZ103" s="203"/>
      <c r="BA103" s="60">
        <v>1.2</v>
      </c>
      <c r="BB103" s="89">
        <f>'CZ05 BC Factors'!D29</f>
        <v>0.43200000000000005</v>
      </c>
      <c r="BC103" s="90">
        <f>'CZ05 BC Factors'!E29</f>
        <v>0.48299999999999998</v>
      </c>
      <c r="BD103" s="91">
        <f>'CZ05 BC Factors'!F29</f>
        <v>0.32500000000000001</v>
      </c>
      <c r="BE103" s="90">
        <f>'CZ05 BC Factors'!G29</f>
        <v>0.17600000000000002</v>
      </c>
      <c r="BF103" s="91">
        <f>'CZ05 BC Factors'!H29</f>
        <v>0.15300000000000002</v>
      </c>
      <c r="BG103" s="90">
        <f>'CZ05 BC Factors'!I29</f>
        <v>0.17600000000000002</v>
      </c>
      <c r="BH103" s="91">
        <f>'CZ05 BC Factors'!J29</f>
        <v>0.377</v>
      </c>
      <c r="BI103" s="92">
        <f>'CZ05 BC Factors'!K29</f>
        <v>0.52499999999999991</v>
      </c>
      <c r="BJ103" s="24"/>
      <c r="BK103" s="60">
        <v>1.2</v>
      </c>
      <c r="BL103" s="89">
        <f>'CZ06 Factors'!D29</f>
        <v>0.55999999999999994</v>
      </c>
      <c r="BM103" s="90">
        <f>'CZ06 Factors'!E29</f>
        <v>0.54377622377622392</v>
      </c>
      <c r="BN103" s="91">
        <f>'CZ06 Factors'!F29</f>
        <v>0.46400000000000002</v>
      </c>
      <c r="BO103" s="90">
        <f>'CZ06 Factors'!G29</f>
        <v>0.30600000000000005</v>
      </c>
      <c r="BP103" s="91">
        <f>'CZ06 Factors'!H29</f>
        <v>0.30600000000000005</v>
      </c>
      <c r="BQ103" s="90">
        <f>'CZ06 Factors'!I29</f>
        <v>0.29699999999999999</v>
      </c>
      <c r="BR103" s="91">
        <f>'CZ06 Factors'!J29</f>
        <v>0.54</v>
      </c>
      <c r="BS103" s="92">
        <f>'CZ06 Factors'!K29</f>
        <v>0.55093681917211323</v>
      </c>
      <c r="BT103" s="24"/>
      <c r="BU103" s="60">
        <v>1.2</v>
      </c>
      <c r="BV103" s="89">
        <f>'CZ07 Factors'!D29</f>
        <v>0.81900000000000006</v>
      </c>
      <c r="BW103" s="90">
        <f>'CZ07 Factors'!E29</f>
        <v>0.82250000000000001</v>
      </c>
      <c r="BX103" s="91">
        <f>'CZ07 Factors'!F29</f>
        <v>0.49300000000000005</v>
      </c>
      <c r="BY103" s="90">
        <f>'CZ07 Factors'!G29</f>
        <v>0.20624999999999999</v>
      </c>
      <c r="BZ103" s="91">
        <f>'CZ07 Factors'!H29</f>
        <v>0.19500000000000001</v>
      </c>
      <c r="CA103" s="90">
        <f>'CZ07 Factors'!I29</f>
        <v>0.21000000000000002</v>
      </c>
      <c r="CB103" s="91">
        <f>'CZ07 Factors'!J29</f>
        <v>0.44999999999999996</v>
      </c>
      <c r="CC103" s="92">
        <f>'CZ07 Factors'!K29</f>
        <v>0.75600000000000001</v>
      </c>
      <c r="CD103" s="24"/>
      <c r="CE103" s="60">
        <v>1.2</v>
      </c>
      <c r="CF103" s="89">
        <f>'CZ08 Factors'!D29</f>
        <v>0.64260000000000006</v>
      </c>
      <c r="CG103" s="90">
        <f>'CZ08 Factors'!E29</f>
        <v>0.74519999999999986</v>
      </c>
      <c r="CH103" s="91">
        <f>'CZ08 Factors'!F29</f>
        <v>0.57400000000000007</v>
      </c>
      <c r="CI103" s="90">
        <f>'CZ08 Factors'!G29</f>
        <v>0.25649999999999995</v>
      </c>
      <c r="CJ103" s="91">
        <f>'CZ08 Factors'!H29</f>
        <v>0.15200000000000002</v>
      </c>
      <c r="CK103" s="90">
        <f>'CZ08 Factors'!I29</f>
        <v>0.24839999999999998</v>
      </c>
      <c r="CL103" s="91">
        <f>'CZ08 Factors'!J29</f>
        <v>0.5292</v>
      </c>
      <c r="CM103" s="92">
        <f>'CZ08 Factors'!K29</f>
        <v>0.74025000000000007</v>
      </c>
    </row>
    <row r="104" spans="1:92" x14ac:dyDescent="0.25">
      <c r="A104" s="24"/>
      <c r="C104" s="60">
        <v>1.4</v>
      </c>
      <c r="D104" s="89"/>
      <c r="E104" s="90"/>
      <c r="F104" s="91"/>
      <c r="G104" s="90"/>
      <c r="H104" s="91"/>
      <c r="I104" s="90"/>
      <c r="J104" s="91"/>
      <c r="K104" s="92"/>
      <c r="L104" s="24"/>
      <c r="M104" s="60">
        <v>1.4</v>
      </c>
      <c r="N104" s="89">
        <f>'CZ02 Factors'!D30</f>
        <v>0.22400000000000003</v>
      </c>
      <c r="O104" s="90">
        <f>'CZ02 Factors'!E30</f>
        <v>0.36899999999999999</v>
      </c>
      <c r="P104" s="91">
        <f>'CZ02 Factors'!F30</f>
        <v>0.28750000000000003</v>
      </c>
      <c r="Q104" s="90">
        <f>'CZ02 Factors'!G30</f>
        <v>0.16450000000000004</v>
      </c>
      <c r="R104" s="91">
        <f>'CZ02 Factors'!H30</f>
        <v>0.17600000000000002</v>
      </c>
      <c r="S104" s="90">
        <f>'CZ02 Factors'!I30</f>
        <v>0.16874999999999998</v>
      </c>
      <c r="T104" s="91">
        <f>'CZ02 Factors'!J30</f>
        <v>0.35649999999999998</v>
      </c>
      <c r="U104" s="92">
        <f>'CZ02 Factors'!K30</f>
        <v>0.3705</v>
      </c>
      <c r="V104" s="24"/>
      <c r="W104" s="60">
        <v>1.4</v>
      </c>
      <c r="X104" s="89">
        <f>'CZ03 Factors'!D30</f>
        <v>0.1633</v>
      </c>
      <c r="Y104" s="90">
        <f>'CZ03 Factors'!E30</f>
        <v>0.28079999999999994</v>
      </c>
      <c r="Z104" s="91">
        <f>'CZ03 Factors'!F30</f>
        <v>0.21250000000000002</v>
      </c>
      <c r="AA104" s="90">
        <f>'CZ03 Factors'!G30</f>
        <v>0.1416</v>
      </c>
      <c r="AB104" s="91">
        <f>'CZ03 Factors'!H30</f>
        <v>0.1963</v>
      </c>
      <c r="AC104" s="90">
        <f>'CZ03 Factors'!I30</f>
        <v>0.16965</v>
      </c>
      <c r="AD104" s="91">
        <f>'CZ03 Factors'!J30</f>
        <v>0.32999999999999996</v>
      </c>
      <c r="AE104" s="92">
        <f>'CZ03 Factors'!K30</f>
        <v>0.37104999999999999</v>
      </c>
      <c r="AF104" s="24"/>
      <c r="AG104" s="60">
        <v>1.4</v>
      </c>
      <c r="AH104" s="89">
        <f>'CZ04 Factors'!D30</f>
        <v>0.35249999999999998</v>
      </c>
      <c r="AI104" s="90">
        <f>'CZ04 Factors'!E30</f>
        <v>0.43475000000000003</v>
      </c>
      <c r="AJ104" s="91">
        <f>'CZ04 Factors'!F30</f>
        <v>0.33</v>
      </c>
      <c r="AK104" s="90">
        <f>'CZ04 Factors'!G30</f>
        <v>0.16800000000000001</v>
      </c>
      <c r="AL104" s="91">
        <f>'CZ04 Factors'!H30</f>
        <v>0.19500000000000001</v>
      </c>
      <c r="AM104" s="90">
        <f>'CZ04 Factors'!I30</f>
        <v>0.19499999999999998</v>
      </c>
      <c r="AN104" s="91">
        <f>'CZ04 Factors'!J30</f>
        <v>0.39</v>
      </c>
      <c r="AO104" s="92">
        <f>'CZ04 Factors'!K30</f>
        <v>0.4817499999999999</v>
      </c>
      <c r="AP104" s="24"/>
      <c r="AQ104" s="60">
        <v>1.4</v>
      </c>
      <c r="AR104" s="89">
        <f>'CZ05 Factors'!D30</f>
        <v>0.32000000000000006</v>
      </c>
      <c r="AS104" s="90">
        <f>'CZ05 Factors'!E30</f>
        <v>0.35700000000000004</v>
      </c>
      <c r="AT104" s="91">
        <f>'CZ05 Factors'!F30</f>
        <v>0.27300000000000002</v>
      </c>
      <c r="AU104" s="90">
        <f>'CZ05 Factors'!G30</f>
        <v>0.18750000000000003</v>
      </c>
      <c r="AV104" s="91">
        <f>'CZ05 Factors'!H30</f>
        <v>0.192</v>
      </c>
      <c r="AW104" s="90">
        <f>'CZ05 Factors'!I30</f>
        <v>0.18000000000000002</v>
      </c>
      <c r="AX104" s="91">
        <f>'CZ05 Factors'!J30</f>
        <v>0.33600000000000008</v>
      </c>
      <c r="AY104" s="92">
        <f>'CZ05 Factors'!K30</f>
        <v>0.43000000000000005</v>
      </c>
      <c r="AZ104" s="203"/>
      <c r="BA104" s="60">
        <v>1.4</v>
      </c>
      <c r="BB104" s="89">
        <f>'CZ05 BC Factors'!D30</f>
        <v>0.32000000000000006</v>
      </c>
      <c r="BC104" s="90">
        <f>'CZ05 BC Factors'!E30</f>
        <v>0.35700000000000004</v>
      </c>
      <c r="BD104" s="91">
        <f>'CZ05 BC Factors'!F30</f>
        <v>0.27300000000000002</v>
      </c>
      <c r="BE104" s="90">
        <f>'CZ05 BC Factors'!G30</f>
        <v>0.16500000000000001</v>
      </c>
      <c r="BF104" s="91">
        <f>'CZ05 BC Factors'!H30</f>
        <v>0.14400000000000002</v>
      </c>
      <c r="BG104" s="90">
        <f>'CZ05 BC Factors'!I30</f>
        <v>0.16500000000000001</v>
      </c>
      <c r="BH104" s="91">
        <f>'CZ05 BC Factors'!J30</f>
        <v>0.36400000000000005</v>
      </c>
      <c r="BI104" s="92">
        <f>'CZ05 BC Factors'!K30</f>
        <v>0.45149999999999996</v>
      </c>
      <c r="BJ104" s="24"/>
      <c r="BK104" s="60">
        <v>1.4</v>
      </c>
      <c r="BL104" s="89">
        <f>'CZ06 Factors'!D30</f>
        <v>0.42400000000000004</v>
      </c>
      <c r="BM104" s="90">
        <f>'CZ06 Factors'!E30</f>
        <v>0.41286713286713295</v>
      </c>
      <c r="BN104" s="91">
        <f>'CZ06 Factors'!F30</f>
        <v>0.41600000000000009</v>
      </c>
      <c r="BO104" s="90">
        <f>'CZ06 Factors'!G30</f>
        <v>0.27200000000000008</v>
      </c>
      <c r="BP104" s="91">
        <f>'CZ06 Factors'!H30</f>
        <v>0.30600000000000005</v>
      </c>
      <c r="BQ104" s="90">
        <f>'CZ06 Factors'!I30</f>
        <v>0.28050000000000003</v>
      </c>
      <c r="BR104" s="91">
        <f>'CZ06 Factors'!J30</f>
        <v>0.48000000000000004</v>
      </c>
      <c r="BS104" s="92">
        <f>'CZ06 Factors'!K30</f>
        <v>0.49394335511982573</v>
      </c>
      <c r="BT104" s="24"/>
      <c r="BU104" s="60">
        <v>1.4</v>
      </c>
      <c r="BV104" s="89">
        <f>'CZ07 Factors'!D30</f>
        <v>0.747</v>
      </c>
      <c r="BW104" s="90">
        <f>'CZ07 Factors'!E30</f>
        <v>0.79900000000000004</v>
      </c>
      <c r="BX104" s="91">
        <f>'CZ07 Factors'!F30</f>
        <v>0.47850000000000009</v>
      </c>
      <c r="BY104" s="90">
        <f>'CZ07 Factors'!G30</f>
        <v>0.1925</v>
      </c>
      <c r="BZ104" s="91">
        <f>'CZ07 Factors'!H30</f>
        <v>0.18200000000000002</v>
      </c>
      <c r="CA104" s="90">
        <f>'CZ07 Factors'!I30</f>
        <v>0.19600000000000004</v>
      </c>
      <c r="CB104" s="91">
        <f>'CZ07 Factors'!J30</f>
        <v>0.40500000000000003</v>
      </c>
      <c r="CC104" s="92">
        <f>'CZ07 Factors'!K30</f>
        <v>0.57600000000000007</v>
      </c>
      <c r="CD104" s="24"/>
      <c r="CE104" s="60">
        <v>1.4</v>
      </c>
      <c r="CF104" s="89">
        <f>'CZ08 Factors'!D30</f>
        <v>0.52359999999999995</v>
      </c>
      <c r="CG104" s="90">
        <f>'CZ08 Factors'!E30</f>
        <v>0.68039999999999989</v>
      </c>
      <c r="CH104" s="91">
        <f>'CZ08 Factors'!F30</f>
        <v>0.51249999999999996</v>
      </c>
      <c r="CI104" s="90">
        <f>'CZ08 Factors'!G30</f>
        <v>0.24224999999999997</v>
      </c>
      <c r="CJ104" s="91">
        <f>'CZ08 Factors'!H30</f>
        <v>0.14400000000000002</v>
      </c>
      <c r="CK104" s="90">
        <f>'CZ08 Factors'!I30</f>
        <v>0.2346</v>
      </c>
      <c r="CL104" s="91">
        <f>'CZ08 Factors'!J30</f>
        <v>0.47039999999999998</v>
      </c>
      <c r="CM104" s="92">
        <f>'CZ08 Factors'!K30</f>
        <v>0.59850000000000003</v>
      </c>
    </row>
    <row r="105" spans="1:92" x14ac:dyDescent="0.25">
      <c r="A105" s="24"/>
      <c r="C105" s="60">
        <v>1.6</v>
      </c>
      <c r="D105" s="89"/>
      <c r="E105" s="90"/>
      <c r="F105" s="91"/>
      <c r="G105" s="90"/>
      <c r="H105" s="91"/>
      <c r="I105" s="90"/>
      <c r="J105" s="91"/>
      <c r="K105" s="92"/>
      <c r="L105" s="24"/>
      <c r="M105" s="60">
        <v>1.6</v>
      </c>
      <c r="N105" s="89">
        <f>'CZ02 Factors'!D31</f>
        <v>0.17600000000000002</v>
      </c>
      <c r="O105" s="90">
        <f>'CZ02 Factors'!E31</f>
        <v>0.29725000000000001</v>
      </c>
      <c r="P105" s="91">
        <f>'CZ02 Factors'!F31</f>
        <v>0.27500000000000002</v>
      </c>
      <c r="Q105" s="90">
        <f>'CZ02 Factors'!G31</f>
        <v>0.16450000000000004</v>
      </c>
      <c r="R105" s="91">
        <f>'CZ02 Factors'!H31</f>
        <v>0.16500000000000001</v>
      </c>
      <c r="S105" s="90">
        <f>'CZ02 Factors'!I31</f>
        <v>0.1575</v>
      </c>
      <c r="T105" s="91">
        <f>'CZ02 Factors'!J31</f>
        <v>0.29899999999999999</v>
      </c>
      <c r="U105" s="92">
        <f>'CZ02 Factors'!K31</f>
        <v>0.33150000000000002</v>
      </c>
      <c r="V105" s="24"/>
      <c r="W105" s="60">
        <v>1.6</v>
      </c>
      <c r="X105" s="89">
        <f>'CZ03 Factors'!D31</f>
        <v>0.1207</v>
      </c>
      <c r="Y105" s="90">
        <f>'CZ03 Factors'!E31</f>
        <v>0.24179999999999999</v>
      </c>
      <c r="Z105" s="91">
        <f>'CZ03 Factors'!F31</f>
        <v>0.20399999999999999</v>
      </c>
      <c r="AA105" s="90">
        <f>'CZ03 Factors'!G31</f>
        <v>0.12980000000000003</v>
      </c>
      <c r="AB105" s="91">
        <f>'CZ03 Factors'!H31</f>
        <v>0.1812</v>
      </c>
      <c r="AC105" s="90">
        <f>'CZ03 Factors'!I31</f>
        <v>0.15659999999999996</v>
      </c>
      <c r="AD105" s="91">
        <f>'CZ03 Factors'!J31</f>
        <v>0.31900000000000001</v>
      </c>
      <c r="AE105" s="92">
        <f>'CZ03 Factors'!K31</f>
        <v>0.30770000000000003</v>
      </c>
      <c r="AF105" s="24"/>
      <c r="AG105" s="60">
        <v>1.6</v>
      </c>
      <c r="AH105" s="89">
        <f>'CZ04 Factors'!D31</f>
        <v>0.25500000000000006</v>
      </c>
      <c r="AI105" s="90">
        <f>'CZ04 Factors'!E31</f>
        <v>0.37925000000000003</v>
      </c>
      <c r="AJ105" s="91">
        <f>'CZ04 Factors'!F31</f>
        <v>0.30800000000000005</v>
      </c>
      <c r="AK105" s="90">
        <f>'CZ04 Factors'!G31</f>
        <v>0.16800000000000001</v>
      </c>
      <c r="AL105" s="91">
        <f>'CZ04 Factors'!H31</f>
        <v>0.18200000000000002</v>
      </c>
      <c r="AM105" s="90">
        <f>'CZ04 Factors'!I31</f>
        <v>0.182</v>
      </c>
      <c r="AN105" s="91">
        <f>'CZ04 Factors'!J31</f>
        <v>0.33800000000000002</v>
      </c>
      <c r="AO105" s="92">
        <f>'CZ04 Factors'!K31</f>
        <v>0.42024999999999996</v>
      </c>
      <c r="AP105" s="24"/>
      <c r="AQ105" s="60">
        <v>1.6</v>
      </c>
      <c r="AR105" s="89">
        <f>'CZ05 Factors'!D31</f>
        <v>0.22400000000000003</v>
      </c>
      <c r="AS105" s="90">
        <f>'CZ05 Factors'!E31</f>
        <v>0.315</v>
      </c>
      <c r="AT105" s="91">
        <f>'CZ05 Factors'!F31</f>
        <v>0.24700000000000003</v>
      </c>
      <c r="AU105" s="90">
        <f>'CZ05 Factors'!G31</f>
        <v>0.17500000000000004</v>
      </c>
      <c r="AV105" s="91">
        <f>'CZ05 Factors'!H31</f>
        <v>0.16800000000000001</v>
      </c>
      <c r="AW105" s="90">
        <f>'CZ05 Factors'!I31</f>
        <v>0.15600000000000003</v>
      </c>
      <c r="AX105" s="91">
        <f>'CZ05 Factors'!J31</f>
        <v>0.27600000000000002</v>
      </c>
      <c r="AY105" s="92">
        <f>'CZ05 Factors'!K31</f>
        <v>0.36</v>
      </c>
      <c r="AZ105" s="203"/>
      <c r="BA105" s="60">
        <v>1.6</v>
      </c>
      <c r="BB105" s="89">
        <f>'CZ05 BC Factors'!D31</f>
        <v>0.22400000000000003</v>
      </c>
      <c r="BC105" s="90">
        <f>'CZ05 BC Factors'!E31</f>
        <v>0.315</v>
      </c>
      <c r="BD105" s="91">
        <f>'CZ05 BC Factors'!F31</f>
        <v>0.24700000000000003</v>
      </c>
      <c r="BE105" s="90">
        <f>'CZ05 BC Factors'!G31</f>
        <v>0.15400000000000003</v>
      </c>
      <c r="BF105" s="91">
        <f>'CZ05 BC Factors'!H31</f>
        <v>0.126</v>
      </c>
      <c r="BG105" s="90">
        <f>'CZ05 BC Factors'!I31</f>
        <v>0.14300000000000002</v>
      </c>
      <c r="BH105" s="91">
        <f>'CZ05 BC Factors'!J31</f>
        <v>0.29900000000000004</v>
      </c>
      <c r="BI105" s="92">
        <f>'CZ05 BC Factors'!K31</f>
        <v>0.37799999999999995</v>
      </c>
      <c r="BJ105" s="24"/>
      <c r="BK105" s="60">
        <v>1.6</v>
      </c>
      <c r="BL105" s="89">
        <f>'CZ06 Factors'!D31</f>
        <v>0.35199999999999998</v>
      </c>
      <c r="BM105" s="90">
        <f>'CZ06 Factors'!E31</f>
        <v>0.37258741258741263</v>
      </c>
      <c r="BN105" s="91">
        <f>'CZ06 Factors'!F31</f>
        <v>0.35200000000000004</v>
      </c>
      <c r="BO105" s="90">
        <f>'CZ06 Factors'!G31</f>
        <v>0.255</v>
      </c>
      <c r="BP105" s="91">
        <f>'CZ06 Factors'!H31</f>
        <v>0.28799999999999998</v>
      </c>
      <c r="BQ105" s="90">
        <f>'CZ06 Factors'!I31</f>
        <v>0.2475</v>
      </c>
      <c r="BR105" s="91">
        <f>'CZ06 Factors'!J31</f>
        <v>0.4200000000000001</v>
      </c>
      <c r="BS105" s="92">
        <f>'CZ06 Factors'!K31</f>
        <v>0.41795206971677556</v>
      </c>
      <c r="BT105" s="24"/>
      <c r="BU105" s="60">
        <v>1.6</v>
      </c>
      <c r="BV105" s="89">
        <f>'CZ07 Factors'!D31</f>
        <v>0.57600000000000007</v>
      </c>
      <c r="BW105" s="90">
        <f>'CZ07 Factors'!E31</f>
        <v>0.5757500000000001</v>
      </c>
      <c r="BX105" s="91">
        <f>'CZ07 Factors'!F31</f>
        <v>0.435</v>
      </c>
      <c r="BY105" s="90">
        <f>'CZ07 Factors'!G31</f>
        <v>0.17874999999999999</v>
      </c>
      <c r="BZ105" s="91">
        <f>'CZ07 Factors'!H31</f>
        <v>0.16899999999999998</v>
      </c>
      <c r="CA105" s="90">
        <f>'CZ07 Factors'!I31</f>
        <v>0.16800000000000001</v>
      </c>
      <c r="CB105" s="91">
        <f>'CZ07 Factors'!J31</f>
        <v>0.375</v>
      </c>
      <c r="CC105" s="92">
        <f>'CZ07 Factors'!K31</f>
        <v>0.54</v>
      </c>
      <c r="CD105" s="24"/>
      <c r="CE105" s="60">
        <v>1.6</v>
      </c>
      <c r="CF105" s="89">
        <f>'CZ08 Factors'!D31</f>
        <v>0.36890000000000001</v>
      </c>
      <c r="CG105" s="90">
        <f>'CZ08 Factors'!E31</f>
        <v>0.50219999999999998</v>
      </c>
      <c r="CH105" s="91">
        <f>'CZ08 Factors'!F31</f>
        <v>0.43049999999999994</v>
      </c>
      <c r="CI105" s="90">
        <f>'CZ08 Factors'!G31</f>
        <v>0.22799999999999998</v>
      </c>
      <c r="CJ105" s="91">
        <f>'CZ08 Factors'!H31</f>
        <v>0.13600000000000001</v>
      </c>
      <c r="CK105" s="90">
        <f>'CZ08 Factors'!I31</f>
        <v>0.20699999999999999</v>
      </c>
      <c r="CL105" s="91">
        <f>'CZ08 Factors'!J31</f>
        <v>0.43120000000000003</v>
      </c>
      <c r="CM105" s="92">
        <f>'CZ08 Factors'!K31</f>
        <v>0.504</v>
      </c>
    </row>
    <row r="106" spans="1:92" x14ac:dyDescent="0.25">
      <c r="A106" s="24"/>
      <c r="C106" s="60">
        <v>1.8</v>
      </c>
      <c r="D106" s="89"/>
      <c r="E106" s="90"/>
      <c r="F106" s="91"/>
      <c r="G106" s="90"/>
      <c r="H106" s="91"/>
      <c r="I106" s="90"/>
      <c r="J106" s="91"/>
      <c r="K106" s="92"/>
      <c r="L106" s="24"/>
      <c r="M106" s="60">
        <v>1.8</v>
      </c>
      <c r="N106" s="89">
        <f>'CZ02 Factors'!D32</f>
        <v>0.15200000000000002</v>
      </c>
      <c r="O106" s="90">
        <f>'CZ02 Factors'!E32</f>
        <v>0.25624999999999998</v>
      </c>
      <c r="P106" s="91">
        <f>'CZ02 Factors'!F32</f>
        <v>0.23749999999999999</v>
      </c>
      <c r="Q106" s="90">
        <f>'CZ02 Factors'!G32</f>
        <v>0.15275000000000002</v>
      </c>
      <c r="R106" s="91">
        <f>'CZ02 Factors'!H32</f>
        <v>0.15400000000000003</v>
      </c>
      <c r="S106" s="90">
        <f>'CZ02 Factors'!I32</f>
        <v>0.14624999999999999</v>
      </c>
      <c r="T106" s="91">
        <f>'CZ02 Factors'!J32</f>
        <v>0.26450000000000001</v>
      </c>
      <c r="U106" s="92">
        <f>'CZ02 Factors'!K32</f>
        <v>0.27300000000000002</v>
      </c>
      <c r="V106" s="24"/>
      <c r="W106" s="60">
        <v>1.8</v>
      </c>
      <c r="X106" s="89">
        <f>'CZ03 Factors'!D32</f>
        <v>0.1065</v>
      </c>
      <c r="Y106" s="90">
        <f>'CZ03 Factors'!E32</f>
        <v>0.1716</v>
      </c>
      <c r="Z106" s="91">
        <f>'CZ03 Factors'!F32</f>
        <v>0.1615</v>
      </c>
      <c r="AA106" s="90">
        <f>'CZ03 Factors'!G32</f>
        <v>0.12980000000000003</v>
      </c>
      <c r="AB106" s="91">
        <f>'CZ03 Factors'!H32</f>
        <v>0.1812</v>
      </c>
      <c r="AC106" s="90">
        <f>'CZ03 Factors'!I32</f>
        <v>0.14354999999999998</v>
      </c>
      <c r="AD106" s="91">
        <f>'CZ03 Factors'!J32</f>
        <v>0.26400000000000001</v>
      </c>
      <c r="AE106" s="92">
        <f>'CZ03 Factors'!K32</f>
        <v>0.28055000000000002</v>
      </c>
      <c r="AF106" s="24"/>
      <c r="AG106" s="60">
        <v>1.8</v>
      </c>
      <c r="AH106" s="89">
        <f>'CZ04 Factors'!D32</f>
        <v>0.19500000000000001</v>
      </c>
      <c r="AI106" s="90">
        <f>'CZ04 Factors'!E32</f>
        <v>0.32375000000000004</v>
      </c>
      <c r="AJ106" s="91">
        <f>'CZ04 Factors'!F32</f>
        <v>0.27500000000000002</v>
      </c>
      <c r="AK106" s="90">
        <f>'CZ04 Factors'!G32</f>
        <v>0.156</v>
      </c>
      <c r="AL106" s="91">
        <f>'CZ04 Factors'!H32</f>
        <v>0.18200000000000002</v>
      </c>
      <c r="AM106" s="90">
        <f>'CZ04 Factors'!I32</f>
        <v>0.16899999999999998</v>
      </c>
      <c r="AN106" s="91">
        <f>'CZ04 Factors'!J32</f>
        <v>0.312</v>
      </c>
      <c r="AO106" s="92">
        <f>'CZ04 Factors'!K32</f>
        <v>0.35874999999999996</v>
      </c>
      <c r="AP106" s="24"/>
      <c r="AQ106" s="60">
        <v>1.8</v>
      </c>
      <c r="AR106" s="89">
        <f>'CZ05 Factors'!D32</f>
        <v>0.17600000000000002</v>
      </c>
      <c r="AS106" s="90">
        <f>'CZ05 Factors'!E32</f>
        <v>0.26250000000000001</v>
      </c>
      <c r="AT106" s="91">
        <f>'CZ05 Factors'!F32</f>
        <v>0.20800000000000002</v>
      </c>
      <c r="AU106" s="90">
        <f>'CZ05 Factors'!G32</f>
        <v>0.16250000000000003</v>
      </c>
      <c r="AV106" s="91">
        <f>'CZ05 Factors'!H32</f>
        <v>0.16800000000000001</v>
      </c>
      <c r="AW106" s="90">
        <f>'CZ05 Factors'!I32</f>
        <v>0.15600000000000003</v>
      </c>
      <c r="AX106" s="91">
        <f>'CZ05 Factors'!J32</f>
        <v>0.24000000000000002</v>
      </c>
      <c r="AY106" s="92">
        <f>'CZ05 Factors'!K32</f>
        <v>0.32</v>
      </c>
      <c r="AZ106" s="203"/>
      <c r="BA106" s="60">
        <v>1.8</v>
      </c>
      <c r="BB106" s="89">
        <f>'CZ05 BC Factors'!D32</f>
        <v>0.17600000000000002</v>
      </c>
      <c r="BC106" s="90">
        <f>'CZ05 BC Factors'!E32</f>
        <v>0.26250000000000001</v>
      </c>
      <c r="BD106" s="91">
        <f>'CZ05 BC Factors'!F32</f>
        <v>0.20800000000000002</v>
      </c>
      <c r="BE106" s="90">
        <f>'CZ05 BC Factors'!G32</f>
        <v>0.14300000000000002</v>
      </c>
      <c r="BF106" s="91">
        <f>'CZ05 BC Factors'!H32</f>
        <v>0.126</v>
      </c>
      <c r="BG106" s="90">
        <f>'CZ05 BC Factors'!I32</f>
        <v>0.14300000000000002</v>
      </c>
      <c r="BH106" s="91">
        <f>'CZ05 BC Factors'!J32</f>
        <v>0.26</v>
      </c>
      <c r="BI106" s="92">
        <f>'CZ05 BC Factors'!K32</f>
        <v>0.33599999999999997</v>
      </c>
      <c r="BJ106" s="24"/>
      <c r="BK106" s="60">
        <v>1.8</v>
      </c>
      <c r="BL106" s="89">
        <f>'CZ06 Factors'!D32</f>
        <v>0.25600000000000006</v>
      </c>
      <c r="BM106" s="90">
        <f>'CZ06 Factors'!E32</f>
        <v>0.30209790209790216</v>
      </c>
      <c r="BN106" s="91">
        <f>'CZ06 Factors'!F32</f>
        <v>0.33600000000000002</v>
      </c>
      <c r="BO106" s="90">
        <f>'CZ06 Factors'!G32</f>
        <v>0.23800000000000004</v>
      </c>
      <c r="BP106" s="91">
        <f>'CZ06 Factors'!H32</f>
        <v>0.27</v>
      </c>
      <c r="BQ106" s="90">
        <f>'CZ06 Factors'!I32</f>
        <v>0.23100000000000001</v>
      </c>
      <c r="BR106" s="91">
        <f>'CZ06 Factors'!J32</f>
        <v>0.40500000000000003</v>
      </c>
      <c r="BS106" s="92">
        <f>'CZ06 Factors'!K32</f>
        <v>0.37995642701525056</v>
      </c>
      <c r="BT106" s="24"/>
      <c r="BU106" s="60">
        <v>1.8</v>
      </c>
      <c r="BV106" s="89">
        <f>'CZ07 Factors'!D32</f>
        <v>0.46800000000000003</v>
      </c>
      <c r="BW106" s="90">
        <f>'CZ07 Factors'!E32</f>
        <v>0.55225000000000002</v>
      </c>
      <c r="BX106" s="91">
        <f>'CZ07 Factors'!F32</f>
        <v>0.34799999999999998</v>
      </c>
      <c r="BY106" s="90">
        <f>'CZ07 Factors'!G32</f>
        <v>0.16499999999999998</v>
      </c>
      <c r="BZ106" s="91">
        <f>'CZ07 Factors'!H32</f>
        <v>0.16899999999999998</v>
      </c>
      <c r="CA106" s="90">
        <f>'CZ07 Factors'!I32</f>
        <v>0.16800000000000001</v>
      </c>
      <c r="CB106" s="91">
        <f>'CZ07 Factors'!J32</f>
        <v>0.34500000000000003</v>
      </c>
      <c r="CC106" s="92">
        <f>'CZ07 Factors'!K32</f>
        <v>0.46800000000000003</v>
      </c>
      <c r="CD106" s="24"/>
      <c r="CE106" s="60">
        <v>1.8</v>
      </c>
      <c r="CF106" s="89">
        <f>'CZ08 Factors'!D32</f>
        <v>0.2737</v>
      </c>
      <c r="CG106" s="90">
        <f>'CZ08 Factors'!E32</f>
        <v>0.45359999999999995</v>
      </c>
      <c r="CH106" s="91">
        <f>'CZ08 Factors'!F32</f>
        <v>0.38949999999999996</v>
      </c>
      <c r="CI106" s="90">
        <f>'CZ08 Factors'!G32</f>
        <v>0.19949999999999998</v>
      </c>
      <c r="CJ106" s="91">
        <f>'CZ08 Factors'!H32</f>
        <v>0.12800000000000003</v>
      </c>
      <c r="CK106" s="90">
        <f>'CZ08 Factors'!I32</f>
        <v>0.19320000000000001</v>
      </c>
      <c r="CL106" s="91">
        <f>'CZ08 Factors'!J32</f>
        <v>0.37240000000000001</v>
      </c>
      <c r="CM106" s="92">
        <f>'CZ08 Factors'!K32</f>
        <v>0.45674999999999999</v>
      </c>
    </row>
    <row r="107" spans="1:92" ht="13" x14ac:dyDescent="0.3">
      <c r="A107" s="24"/>
      <c r="C107" s="133">
        <v>2</v>
      </c>
      <c r="D107" s="49"/>
      <c r="E107" s="54"/>
      <c r="F107" s="50"/>
      <c r="G107" s="54"/>
      <c r="H107" s="50"/>
      <c r="I107" s="54"/>
      <c r="J107" s="50"/>
      <c r="K107" s="56"/>
      <c r="L107" s="24"/>
      <c r="M107" s="133">
        <v>2</v>
      </c>
      <c r="N107" s="49">
        <f>'CZ02 Factors'!D33</f>
        <v>0.12000000000000001</v>
      </c>
      <c r="O107" s="54">
        <f>'CZ02 Factors'!E33</f>
        <v>0.19475000000000001</v>
      </c>
      <c r="P107" s="50">
        <f>'CZ02 Factors'!F33</f>
        <v>0.21250000000000002</v>
      </c>
      <c r="Q107" s="54">
        <f>'CZ02 Factors'!G33</f>
        <v>0.14100000000000001</v>
      </c>
      <c r="R107" s="50">
        <f>'CZ02 Factors'!H33</f>
        <v>0.15400000000000003</v>
      </c>
      <c r="S107" s="54">
        <f>'CZ02 Factors'!I33</f>
        <v>0.14624999999999999</v>
      </c>
      <c r="T107" s="50">
        <f>'CZ02 Factors'!J33</f>
        <v>0.253</v>
      </c>
      <c r="U107" s="56">
        <f>'CZ02 Factors'!K33</f>
        <v>0.26325000000000004</v>
      </c>
      <c r="V107" s="24"/>
      <c r="W107" s="133">
        <v>2</v>
      </c>
      <c r="X107" s="49">
        <f>'CZ03 Factors'!D33</f>
        <v>9.2300000000000007E-2</v>
      </c>
      <c r="Y107" s="54">
        <f>'CZ03 Factors'!E33</f>
        <v>0.1716</v>
      </c>
      <c r="Z107" s="50">
        <f>'CZ03 Factors'!F33</f>
        <v>0.153</v>
      </c>
      <c r="AA107" s="54">
        <f>'CZ03 Factors'!G33</f>
        <v>0.11800000000000002</v>
      </c>
      <c r="AB107" s="50">
        <f>'CZ03 Factors'!H33</f>
        <v>0.1812</v>
      </c>
      <c r="AC107" s="54">
        <f>'CZ03 Factors'!I33</f>
        <v>0.14354999999999998</v>
      </c>
      <c r="AD107" s="50">
        <f>'CZ03 Factors'!J33</f>
        <v>0.24199999999999999</v>
      </c>
      <c r="AE107" s="56">
        <f>'CZ03 Factors'!K33</f>
        <v>0.24435000000000001</v>
      </c>
      <c r="AF107" s="24"/>
      <c r="AG107" s="133">
        <v>2</v>
      </c>
      <c r="AH107" s="49">
        <f>'CZ04 Factors'!D33</f>
        <v>0.18</v>
      </c>
      <c r="AI107" s="54">
        <f>'CZ04 Factors'!E33</f>
        <v>0.29600000000000004</v>
      </c>
      <c r="AJ107" s="50">
        <f>'CZ04 Factors'!F33</f>
        <v>0.24200000000000002</v>
      </c>
      <c r="AK107" s="54">
        <f>'CZ04 Factors'!G33</f>
        <v>0.14399999999999999</v>
      </c>
      <c r="AL107" s="50">
        <f>'CZ04 Factors'!H33</f>
        <v>0.16899999999999998</v>
      </c>
      <c r="AM107" s="54">
        <f>'CZ04 Factors'!I33</f>
        <v>0.15599999999999997</v>
      </c>
      <c r="AN107" s="50">
        <f>'CZ04 Factors'!J33</f>
        <v>0.28600000000000003</v>
      </c>
      <c r="AO107" s="56">
        <f>'CZ04 Factors'!K33</f>
        <v>0.29724999999999996</v>
      </c>
      <c r="AP107" s="24"/>
      <c r="AQ107" s="133">
        <v>2</v>
      </c>
      <c r="AR107" s="49">
        <f>'CZ05 Factors'!D33</f>
        <v>0.14399999999999999</v>
      </c>
      <c r="AS107" s="54">
        <f>'CZ05 Factors'!E33</f>
        <v>0.19949999999999998</v>
      </c>
      <c r="AT107" s="50">
        <f>'CZ05 Factors'!F33</f>
        <v>0.19500000000000001</v>
      </c>
      <c r="AU107" s="54">
        <f>'CZ05 Factors'!G33</f>
        <v>0.15000000000000002</v>
      </c>
      <c r="AV107" s="50">
        <f>'CZ05 Factors'!H33</f>
        <v>0.16800000000000001</v>
      </c>
      <c r="AW107" s="54">
        <f>'CZ05 Factors'!I33</f>
        <v>0.14400000000000002</v>
      </c>
      <c r="AX107" s="50">
        <f>'CZ05 Factors'!J33</f>
        <v>0.22800000000000001</v>
      </c>
      <c r="AY107" s="56">
        <f>'CZ05 Factors'!K33</f>
        <v>0.23999999999999996</v>
      </c>
      <c r="AZ107" s="202"/>
      <c r="BA107" s="133">
        <v>2</v>
      </c>
      <c r="BB107" s="49">
        <f>'CZ05 BC Factors'!D33</f>
        <v>0.14399999999999999</v>
      </c>
      <c r="BC107" s="54">
        <f>'CZ05 BC Factors'!E33</f>
        <v>0.19949999999999998</v>
      </c>
      <c r="BD107" s="50">
        <f>'CZ05 BC Factors'!F33</f>
        <v>0.19500000000000001</v>
      </c>
      <c r="BE107" s="54">
        <f>'CZ05 BC Factors'!G33</f>
        <v>0.13200000000000001</v>
      </c>
      <c r="BF107" s="50">
        <f>'CZ05 BC Factors'!H33</f>
        <v>0.126</v>
      </c>
      <c r="BG107" s="54">
        <f>'CZ05 BC Factors'!I33</f>
        <v>0.13200000000000001</v>
      </c>
      <c r="BH107" s="50">
        <f>'CZ05 BC Factors'!J33</f>
        <v>0.247</v>
      </c>
      <c r="BI107" s="56">
        <f>'CZ05 BC Factors'!K33</f>
        <v>0.25199999999999995</v>
      </c>
      <c r="BJ107" s="24"/>
      <c r="BK107" s="133">
        <v>2</v>
      </c>
      <c r="BL107" s="49">
        <f>'CZ06 Factors'!D33</f>
        <v>0.19999999999999998</v>
      </c>
      <c r="BM107" s="54">
        <f>'CZ06 Factors'!E33</f>
        <v>0.27188811188811196</v>
      </c>
      <c r="BN107" s="50">
        <f>'CZ06 Factors'!F33</f>
        <v>0.32000000000000006</v>
      </c>
      <c r="BO107" s="54">
        <f>'CZ06 Factors'!G33</f>
        <v>0.22100000000000006</v>
      </c>
      <c r="BP107" s="50">
        <f>'CZ06 Factors'!H33</f>
        <v>0.252</v>
      </c>
      <c r="BQ107" s="54">
        <f>'CZ06 Factors'!I33</f>
        <v>0.23100000000000001</v>
      </c>
      <c r="BR107" s="50">
        <f>'CZ06 Factors'!J33</f>
        <v>0.36</v>
      </c>
      <c r="BS107" s="56">
        <f>'CZ06 Factors'!K33</f>
        <v>0.30396514161220045</v>
      </c>
      <c r="BT107" s="24"/>
      <c r="BU107" s="133">
        <v>2</v>
      </c>
      <c r="BV107" s="49">
        <f>'CZ07 Factors'!D33</f>
        <v>0.35100000000000003</v>
      </c>
      <c r="BW107" s="54">
        <f>'CZ07 Factors'!E33</f>
        <v>0.45825000000000005</v>
      </c>
      <c r="BX107" s="50">
        <f>'CZ07 Factors'!F33</f>
        <v>0.34799999999999998</v>
      </c>
      <c r="BY107" s="54">
        <f>'CZ07 Factors'!G33</f>
        <v>0.15125</v>
      </c>
      <c r="BZ107" s="50">
        <f>'CZ07 Factors'!H33</f>
        <v>0.156</v>
      </c>
      <c r="CA107" s="54">
        <f>'CZ07 Factors'!I33</f>
        <v>0.16800000000000001</v>
      </c>
      <c r="CB107" s="50">
        <f>'CZ07 Factors'!J33</f>
        <v>0.3</v>
      </c>
      <c r="CC107" s="56">
        <f>'CZ07 Factors'!K33</f>
        <v>0.39600000000000002</v>
      </c>
      <c r="CD107" s="24"/>
      <c r="CE107" s="133">
        <v>2</v>
      </c>
      <c r="CF107" s="49">
        <f>'CZ08 Factors'!D33</f>
        <v>0.2261</v>
      </c>
      <c r="CG107" s="54">
        <f>'CZ08 Factors'!E33</f>
        <v>0.40499999999999997</v>
      </c>
      <c r="CH107" s="50">
        <f>'CZ08 Factors'!F33</f>
        <v>0.32799999999999996</v>
      </c>
      <c r="CI107" s="54">
        <f>'CZ08 Factors'!G33</f>
        <v>0.19949999999999998</v>
      </c>
      <c r="CJ107" s="50">
        <f>'CZ08 Factors'!H33</f>
        <v>0.12000000000000001</v>
      </c>
      <c r="CK107" s="54">
        <f>'CZ08 Factors'!I33</f>
        <v>0.19320000000000001</v>
      </c>
      <c r="CL107" s="50">
        <f>'CZ08 Factors'!J33</f>
        <v>0.3332</v>
      </c>
      <c r="CM107" s="56">
        <f>'CZ08 Factors'!K33</f>
        <v>0.36225000000000007</v>
      </c>
    </row>
    <row r="108" spans="1:92" x14ac:dyDescent="0.25">
      <c r="A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J108" s="24"/>
      <c r="BT108" s="24"/>
      <c r="CD108" s="24"/>
      <c r="CE108" s="24"/>
      <c r="CF108" s="24"/>
      <c r="CG108" s="24"/>
      <c r="CH108" s="24"/>
      <c r="CI108" s="24"/>
      <c r="CJ108" s="24"/>
      <c r="CK108" s="24"/>
      <c r="CL108" s="24"/>
      <c r="CM108" s="24"/>
    </row>
    <row r="109" spans="1:92" ht="13" x14ac:dyDescent="0.3">
      <c r="A109" s="24"/>
      <c r="B109" s="183" t="s">
        <v>313</v>
      </c>
      <c r="C109" s="184"/>
      <c r="D109" s="184"/>
      <c r="E109" s="184"/>
      <c r="F109" s="184"/>
      <c r="G109" s="184"/>
      <c r="H109" s="184"/>
      <c r="I109" s="184"/>
      <c r="J109" s="184"/>
      <c r="K109" s="184"/>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4"/>
      <c r="BL109" s="184"/>
      <c r="BM109" s="184"/>
      <c r="BN109" s="184"/>
      <c r="BO109" s="184"/>
      <c r="BP109" s="184"/>
      <c r="BQ109" s="184"/>
      <c r="BR109" s="184"/>
      <c r="BS109" s="184"/>
      <c r="BT109" s="185"/>
      <c r="BU109" s="184"/>
      <c r="BV109" s="184"/>
      <c r="BW109" s="184"/>
      <c r="BX109" s="184"/>
      <c r="BY109" s="184"/>
      <c r="BZ109" s="184"/>
      <c r="CA109" s="184"/>
      <c r="CB109" s="184"/>
      <c r="CC109" s="184"/>
      <c r="CD109" s="185"/>
      <c r="CE109" s="185"/>
      <c r="CF109" s="185"/>
      <c r="CG109" s="185"/>
      <c r="CH109" s="185"/>
      <c r="CI109" s="185"/>
      <c r="CJ109" s="185"/>
      <c r="CK109" s="185"/>
      <c r="CL109" s="185"/>
      <c r="CM109" s="185"/>
    </row>
    <row r="110" spans="1:92" ht="15.5" x14ac:dyDescent="0.35">
      <c r="A110" s="24"/>
      <c r="B110" s="69" t="s">
        <v>287</v>
      </c>
      <c r="C110" s="31" t="s">
        <v>288</v>
      </c>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row>
    <row r="111" spans="1:92" ht="13" x14ac:dyDescent="0.3">
      <c r="A111" s="24"/>
      <c r="B111" s="24"/>
      <c r="C111" s="26" t="s">
        <v>289</v>
      </c>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row>
    <row r="112" spans="1:92"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row>
    <row r="113" spans="1:91" ht="13" x14ac:dyDescent="0.3">
      <c r="A113" s="24"/>
      <c r="B113" s="24"/>
      <c r="C113" s="1" t="s">
        <v>290</v>
      </c>
      <c r="L113" s="24"/>
      <c r="M113" s="1" t="s">
        <v>291</v>
      </c>
      <c r="W113" s="1" t="s">
        <v>292</v>
      </c>
      <c r="AG113" s="1" t="s">
        <v>293</v>
      </c>
      <c r="AQ113" s="1" t="s">
        <v>294</v>
      </c>
      <c r="BA113" s="1" t="s">
        <v>294</v>
      </c>
      <c r="BK113" s="1" t="s">
        <v>295</v>
      </c>
      <c r="BU113" s="1" t="s">
        <v>296</v>
      </c>
      <c r="CE113" s="1" t="s">
        <v>297</v>
      </c>
      <c r="CF113" s="33"/>
      <c r="CG113" s="33"/>
      <c r="CH113" s="33"/>
      <c r="CI113" s="33"/>
      <c r="CJ113" s="33"/>
      <c r="CK113" s="33"/>
      <c r="CL113" s="33"/>
      <c r="CM113" s="33"/>
    </row>
    <row r="114" spans="1:91" ht="13" x14ac:dyDescent="0.3">
      <c r="A114" s="24"/>
      <c r="B114" s="24"/>
      <c r="C114" s="122" t="s">
        <v>298</v>
      </c>
      <c r="M114" s="122" t="s">
        <v>299</v>
      </c>
      <c r="W114" s="122" t="s">
        <v>300</v>
      </c>
      <c r="AG114" s="122" t="s">
        <v>390</v>
      </c>
      <c r="AQ114" s="122" t="s">
        <v>391</v>
      </c>
      <c r="BA114" s="122" t="s">
        <v>395</v>
      </c>
      <c r="BB114" s="26" t="s">
        <v>393</v>
      </c>
      <c r="BK114" s="122" t="s">
        <v>301</v>
      </c>
      <c r="BU114" s="122" t="s">
        <v>302</v>
      </c>
      <c r="CE114" s="122" t="s">
        <v>396</v>
      </c>
      <c r="CF114" s="33"/>
      <c r="CG114" s="33"/>
      <c r="CH114" s="33"/>
      <c r="CI114" s="33"/>
      <c r="CJ114" s="33"/>
      <c r="CK114" s="33"/>
      <c r="CL114" s="33"/>
      <c r="CM114" s="33"/>
    </row>
    <row r="115" spans="1:91" x14ac:dyDescent="0.25">
      <c r="A115" s="24"/>
      <c r="B115" s="24"/>
      <c r="C115" s="123"/>
      <c r="D115" s="46" t="s">
        <v>277</v>
      </c>
      <c r="E115" s="44" t="s">
        <v>278</v>
      </c>
      <c r="F115" s="44" t="s">
        <v>279</v>
      </c>
      <c r="G115" s="44" t="s">
        <v>280</v>
      </c>
      <c r="H115" s="44" t="s">
        <v>281</v>
      </c>
      <c r="I115" s="44" t="s">
        <v>282</v>
      </c>
      <c r="J115" s="44" t="s">
        <v>283</v>
      </c>
      <c r="K115" s="45" t="s">
        <v>284</v>
      </c>
      <c r="L115" s="24"/>
      <c r="M115" s="123"/>
      <c r="N115" s="46" t="s">
        <v>277</v>
      </c>
      <c r="O115" s="44" t="s">
        <v>278</v>
      </c>
      <c r="P115" s="44" t="s">
        <v>279</v>
      </c>
      <c r="Q115" s="44" t="s">
        <v>280</v>
      </c>
      <c r="R115" s="44" t="s">
        <v>281</v>
      </c>
      <c r="S115" s="44" t="s">
        <v>282</v>
      </c>
      <c r="T115" s="44" t="s">
        <v>283</v>
      </c>
      <c r="U115" s="45" t="s">
        <v>284</v>
      </c>
      <c r="V115" s="24"/>
      <c r="W115" s="123"/>
      <c r="X115" s="46" t="s">
        <v>277</v>
      </c>
      <c r="Y115" s="44" t="s">
        <v>278</v>
      </c>
      <c r="Z115" s="44" t="s">
        <v>279</v>
      </c>
      <c r="AA115" s="44" t="s">
        <v>280</v>
      </c>
      <c r="AB115" s="44" t="s">
        <v>281</v>
      </c>
      <c r="AC115" s="44" t="s">
        <v>282</v>
      </c>
      <c r="AD115" s="44" t="s">
        <v>283</v>
      </c>
      <c r="AE115" s="45" t="s">
        <v>284</v>
      </c>
      <c r="AF115" s="24"/>
      <c r="AG115" s="123"/>
      <c r="AH115" s="46" t="s">
        <v>277</v>
      </c>
      <c r="AI115" s="44" t="s">
        <v>278</v>
      </c>
      <c r="AJ115" s="44" t="s">
        <v>279</v>
      </c>
      <c r="AK115" s="44" t="s">
        <v>280</v>
      </c>
      <c r="AL115" s="44" t="s">
        <v>281</v>
      </c>
      <c r="AM115" s="44" t="s">
        <v>282</v>
      </c>
      <c r="AN115" s="44" t="s">
        <v>283</v>
      </c>
      <c r="AO115" s="45" t="s">
        <v>284</v>
      </c>
      <c r="AP115" s="24"/>
      <c r="AQ115" s="123"/>
      <c r="AR115" s="46" t="s">
        <v>277</v>
      </c>
      <c r="AS115" s="44" t="s">
        <v>278</v>
      </c>
      <c r="AT115" s="44" t="s">
        <v>279</v>
      </c>
      <c r="AU115" s="44" t="s">
        <v>280</v>
      </c>
      <c r="AV115" s="44" t="s">
        <v>281</v>
      </c>
      <c r="AW115" s="44" t="s">
        <v>282</v>
      </c>
      <c r="AX115" s="44" t="s">
        <v>283</v>
      </c>
      <c r="AY115" s="45" t="s">
        <v>284</v>
      </c>
      <c r="AZ115" s="200"/>
      <c r="BA115" s="123"/>
      <c r="BB115" s="46" t="s">
        <v>277</v>
      </c>
      <c r="BC115" s="44" t="s">
        <v>278</v>
      </c>
      <c r="BD115" s="44" t="s">
        <v>279</v>
      </c>
      <c r="BE115" s="44" t="s">
        <v>280</v>
      </c>
      <c r="BF115" s="44" t="s">
        <v>281</v>
      </c>
      <c r="BG115" s="44" t="s">
        <v>282</v>
      </c>
      <c r="BH115" s="44" t="s">
        <v>283</v>
      </c>
      <c r="BI115" s="45" t="s">
        <v>284</v>
      </c>
      <c r="BJ115" s="24"/>
      <c r="BK115" s="123"/>
      <c r="BL115" s="46" t="s">
        <v>277</v>
      </c>
      <c r="BM115" s="44" t="s">
        <v>278</v>
      </c>
      <c r="BN115" s="44" t="s">
        <v>279</v>
      </c>
      <c r="BO115" s="44" t="s">
        <v>280</v>
      </c>
      <c r="BP115" s="44" t="s">
        <v>281</v>
      </c>
      <c r="BQ115" s="44" t="s">
        <v>282</v>
      </c>
      <c r="BR115" s="44" t="s">
        <v>283</v>
      </c>
      <c r="BS115" s="45" t="s">
        <v>284</v>
      </c>
      <c r="BT115" s="24"/>
      <c r="BU115" s="123"/>
      <c r="BV115" s="46" t="s">
        <v>277</v>
      </c>
      <c r="BW115" s="44" t="s">
        <v>278</v>
      </c>
      <c r="BX115" s="44" t="s">
        <v>279</v>
      </c>
      <c r="BY115" s="44" t="s">
        <v>280</v>
      </c>
      <c r="BZ115" s="44" t="s">
        <v>281</v>
      </c>
      <c r="CA115" s="44" t="s">
        <v>282</v>
      </c>
      <c r="CB115" s="44" t="s">
        <v>283</v>
      </c>
      <c r="CC115" s="45" t="s">
        <v>284</v>
      </c>
      <c r="CD115" s="24"/>
      <c r="CE115" s="123"/>
      <c r="CF115" s="46" t="s">
        <v>277</v>
      </c>
      <c r="CG115" s="44" t="s">
        <v>278</v>
      </c>
      <c r="CH115" s="44" t="s">
        <v>279</v>
      </c>
      <c r="CI115" s="44" t="s">
        <v>280</v>
      </c>
      <c r="CJ115" s="44" t="s">
        <v>281</v>
      </c>
      <c r="CK115" s="44" t="s">
        <v>282</v>
      </c>
      <c r="CL115" s="44" t="s">
        <v>283</v>
      </c>
      <c r="CM115" s="45" t="s">
        <v>284</v>
      </c>
    </row>
    <row r="116" spans="1:91" x14ac:dyDescent="0.25">
      <c r="A116" s="24"/>
      <c r="B116" s="34" t="s">
        <v>303</v>
      </c>
      <c r="C116" s="47" t="s">
        <v>304</v>
      </c>
      <c r="D116" s="124">
        <v>0</v>
      </c>
      <c r="E116" s="125">
        <v>45</v>
      </c>
      <c r="F116" s="126">
        <v>90</v>
      </c>
      <c r="G116" s="125">
        <v>135</v>
      </c>
      <c r="H116" s="126">
        <v>180</v>
      </c>
      <c r="I116" s="125">
        <v>225</v>
      </c>
      <c r="J116" s="126">
        <v>270</v>
      </c>
      <c r="K116" s="127">
        <v>315</v>
      </c>
      <c r="M116" s="47" t="s">
        <v>304</v>
      </c>
      <c r="N116" s="124">
        <v>0</v>
      </c>
      <c r="O116" s="125">
        <v>45</v>
      </c>
      <c r="P116" s="126">
        <v>90</v>
      </c>
      <c r="Q116" s="125">
        <v>135</v>
      </c>
      <c r="R116" s="126">
        <v>180</v>
      </c>
      <c r="S116" s="125">
        <v>225</v>
      </c>
      <c r="T116" s="126">
        <v>270</v>
      </c>
      <c r="U116" s="127">
        <v>315</v>
      </c>
      <c r="W116" s="47" t="s">
        <v>304</v>
      </c>
      <c r="X116" s="124">
        <v>0</v>
      </c>
      <c r="Y116" s="125">
        <v>45</v>
      </c>
      <c r="Z116" s="126">
        <v>90</v>
      </c>
      <c r="AA116" s="125">
        <v>135</v>
      </c>
      <c r="AB116" s="126">
        <v>180</v>
      </c>
      <c r="AC116" s="125">
        <v>225</v>
      </c>
      <c r="AD116" s="126">
        <v>270</v>
      </c>
      <c r="AE116" s="127">
        <v>315</v>
      </c>
      <c r="AG116" s="47" t="s">
        <v>304</v>
      </c>
      <c r="AH116" s="124">
        <v>0</v>
      </c>
      <c r="AI116" s="125">
        <v>45</v>
      </c>
      <c r="AJ116" s="126">
        <v>90</v>
      </c>
      <c r="AK116" s="125">
        <v>135</v>
      </c>
      <c r="AL116" s="126">
        <v>180</v>
      </c>
      <c r="AM116" s="125">
        <v>225</v>
      </c>
      <c r="AN116" s="126">
        <v>270</v>
      </c>
      <c r="AO116" s="127">
        <v>315</v>
      </c>
      <c r="AQ116" s="47" t="s">
        <v>304</v>
      </c>
      <c r="AR116" s="124">
        <v>0</v>
      </c>
      <c r="AS116" s="125">
        <v>45</v>
      </c>
      <c r="AT116" s="126">
        <v>90</v>
      </c>
      <c r="AU116" s="125">
        <v>135</v>
      </c>
      <c r="AV116" s="126">
        <v>180</v>
      </c>
      <c r="AW116" s="125">
        <v>225</v>
      </c>
      <c r="AX116" s="126">
        <v>270</v>
      </c>
      <c r="AY116" s="127">
        <v>315</v>
      </c>
      <c r="AZ116" s="201"/>
      <c r="BA116" s="47" t="s">
        <v>304</v>
      </c>
      <c r="BB116" s="124">
        <v>0</v>
      </c>
      <c r="BC116" s="125">
        <v>45</v>
      </c>
      <c r="BD116" s="126">
        <v>90</v>
      </c>
      <c r="BE116" s="125">
        <v>135</v>
      </c>
      <c r="BF116" s="126">
        <v>180</v>
      </c>
      <c r="BG116" s="125">
        <v>225</v>
      </c>
      <c r="BH116" s="126">
        <v>270</v>
      </c>
      <c r="BI116" s="127">
        <v>315</v>
      </c>
      <c r="BK116" s="47" t="s">
        <v>304</v>
      </c>
      <c r="BL116" s="124">
        <v>0</v>
      </c>
      <c r="BM116" s="125">
        <v>45</v>
      </c>
      <c r="BN116" s="126">
        <v>90</v>
      </c>
      <c r="BO116" s="125">
        <v>135</v>
      </c>
      <c r="BP116" s="126">
        <v>180</v>
      </c>
      <c r="BQ116" s="125">
        <v>225</v>
      </c>
      <c r="BR116" s="126">
        <v>270</v>
      </c>
      <c r="BS116" s="127">
        <v>315</v>
      </c>
      <c r="BU116" s="47" t="s">
        <v>304</v>
      </c>
      <c r="BV116" s="124">
        <v>0</v>
      </c>
      <c r="BW116" s="125">
        <v>45</v>
      </c>
      <c r="BX116" s="126">
        <v>90</v>
      </c>
      <c r="BY116" s="125">
        <v>135</v>
      </c>
      <c r="BZ116" s="126">
        <v>180</v>
      </c>
      <c r="CA116" s="125">
        <v>225</v>
      </c>
      <c r="CB116" s="126">
        <v>270</v>
      </c>
      <c r="CC116" s="127">
        <v>315</v>
      </c>
      <c r="CE116" s="47" t="s">
        <v>304</v>
      </c>
      <c r="CF116" s="124">
        <v>0</v>
      </c>
      <c r="CG116" s="125">
        <v>45</v>
      </c>
      <c r="CH116" s="126">
        <v>90</v>
      </c>
      <c r="CI116" s="125">
        <v>135</v>
      </c>
      <c r="CJ116" s="126">
        <v>180</v>
      </c>
      <c r="CK116" s="125">
        <v>225</v>
      </c>
      <c r="CL116" s="126">
        <v>270</v>
      </c>
      <c r="CM116" s="127">
        <v>315</v>
      </c>
    </row>
    <row r="117" spans="1:91" ht="13" x14ac:dyDescent="0.3">
      <c r="A117" s="24"/>
      <c r="B117" s="66">
        <f t="shared" ref="B117:B129" si="14">B$86*C117</f>
        <v>0</v>
      </c>
      <c r="C117" s="63">
        <v>0</v>
      </c>
      <c r="D117" s="51">
        <f>'CZ01 Factors'!D23</f>
        <v>0.60839999999999994</v>
      </c>
      <c r="E117" s="61">
        <f>'CZ01 Factors'!E23</f>
        <v>0.9575999999999999</v>
      </c>
      <c r="F117" s="52">
        <f>'CZ01 Factors'!F23</f>
        <v>1.4319000000000002</v>
      </c>
      <c r="G117" s="61">
        <f>'CZ01 Factors'!G23</f>
        <v>1.1903999999999999</v>
      </c>
      <c r="H117" s="52">
        <f>'CZ01 Factors'!H23</f>
        <v>0.70469999999999999</v>
      </c>
      <c r="I117" s="61">
        <f>'CZ01 Factors'!I23</f>
        <v>1.1493500000000001</v>
      </c>
      <c r="J117" s="52">
        <f>'CZ01 Factors'!J23</f>
        <v>1.32</v>
      </c>
      <c r="K117" s="62">
        <f>'CZ01 Factors'!K23</f>
        <v>0.9222499999999999</v>
      </c>
      <c r="M117" s="57">
        <v>0</v>
      </c>
      <c r="N117" s="51">
        <f>'CZ02 Factors'!D41</f>
        <v>0.432</v>
      </c>
      <c r="O117" s="61">
        <f>'CZ02 Factors'!E41</f>
        <v>0.81374999999999997</v>
      </c>
      <c r="P117" s="52">
        <f>'CZ02 Factors'!F41</f>
        <v>1.159</v>
      </c>
      <c r="Q117" s="61">
        <f>'CZ02 Factors'!G41</f>
        <v>0.754</v>
      </c>
      <c r="R117" s="52">
        <f>'CZ02 Factors'!H41</f>
        <v>0.36</v>
      </c>
      <c r="S117" s="61">
        <f>'CZ02 Factors'!I41</f>
        <v>1.0640000000000001</v>
      </c>
      <c r="T117" s="52">
        <f>'CZ02 Factors'!J41</f>
        <v>1.8759999999999999</v>
      </c>
      <c r="U117" s="62">
        <f>'CZ02 Factors'!K41</f>
        <v>1.1100000000000001</v>
      </c>
      <c r="W117" s="57">
        <v>0</v>
      </c>
      <c r="X117" s="51">
        <f>'CZ03 Factors'!D41</f>
        <v>0.78400000000000003</v>
      </c>
      <c r="Y117" s="61">
        <f>'CZ03 Factors'!E41</f>
        <v>1.3</v>
      </c>
      <c r="Z117" s="52">
        <f>'CZ03 Factors'!F41</f>
        <v>1.5620000000000001</v>
      </c>
      <c r="AA117" s="61">
        <f>'CZ03 Factors'!G41</f>
        <v>1.357</v>
      </c>
      <c r="AB117" s="52">
        <f>'CZ03 Factors'!H41</f>
        <v>0.79200000000000004</v>
      </c>
      <c r="AC117" s="61">
        <f>'CZ03 Factors'!I41</f>
        <v>1.1599999999999999</v>
      </c>
      <c r="AD117" s="52">
        <f>'CZ03 Factors'!J41</f>
        <v>1.0880000000000001</v>
      </c>
      <c r="AE117" s="62">
        <f>'CZ03 Factors'!K41</f>
        <v>1.111</v>
      </c>
      <c r="AG117" s="57">
        <v>0</v>
      </c>
      <c r="AH117" s="51">
        <f>'CZ04 Factors'!D41</f>
        <v>0.79200000000000004</v>
      </c>
      <c r="AI117" s="61">
        <f>'CZ04 Factors'!E41</f>
        <v>1.1304999999999998</v>
      </c>
      <c r="AJ117" s="52">
        <f>'CZ04 Factors'!F41</f>
        <v>1.1199999999999999</v>
      </c>
      <c r="AK117" s="61">
        <f>'CZ04 Factors'!G41</f>
        <v>0.68250000000000011</v>
      </c>
      <c r="AL117" s="52">
        <f>'CZ04 Factors'!H41</f>
        <v>0.28499999999999998</v>
      </c>
      <c r="AM117" s="61">
        <f>'CZ04 Factors'!I41</f>
        <v>0.64349999999999996</v>
      </c>
      <c r="AN117" s="52">
        <f>'CZ04 Factors'!J41</f>
        <v>1.048</v>
      </c>
      <c r="AO117" s="62">
        <f>'CZ04 Factors'!K41</f>
        <v>1.0640000000000001</v>
      </c>
      <c r="AQ117" s="57">
        <v>0</v>
      </c>
      <c r="AR117" s="51">
        <f>'CZ05 Factors'!D41</f>
        <v>0.67239999999999989</v>
      </c>
      <c r="AS117" s="61">
        <f>'CZ05 Factors'!E41</f>
        <v>0.92649999999999988</v>
      </c>
      <c r="AT117" s="52">
        <f>'CZ05 Factors'!F41</f>
        <v>1.0471999999999999</v>
      </c>
      <c r="AU117" s="61">
        <f>'CZ05 Factors'!G41</f>
        <v>0.61440000000000006</v>
      </c>
      <c r="AV117" s="52">
        <f>'CZ05 Factors'!H41</f>
        <v>0.27200000000000002</v>
      </c>
      <c r="AW117" s="61">
        <f>'CZ05 Factors'!I41</f>
        <v>0.67080000000000006</v>
      </c>
      <c r="AX117" s="52">
        <f>'CZ05 Factors'!J41</f>
        <v>1.157</v>
      </c>
      <c r="AY117" s="62">
        <f>'CZ05 Factors'!K41</f>
        <v>0.9917999999999999</v>
      </c>
      <c r="AZ117" s="202"/>
      <c r="BA117" s="57">
        <v>0</v>
      </c>
      <c r="BB117" s="51">
        <f>'CZ05 BC Factors'!D41</f>
        <v>0.82</v>
      </c>
      <c r="BC117" s="61">
        <f>'CZ05 BC Factors'!E41</f>
        <v>1.0355000000000001</v>
      </c>
      <c r="BD117" s="52">
        <f>'CZ05 BC Factors'!F41</f>
        <v>1.071</v>
      </c>
      <c r="BE117" s="61">
        <f>'CZ05 BC Factors'!G41</f>
        <v>0.72</v>
      </c>
      <c r="BF117" s="52">
        <f>'CZ05 BC Factors'!H41</f>
        <v>0.40800000000000003</v>
      </c>
      <c r="BG117" s="61">
        <f>'CZ05 BC Factors'!I41</f>
        <v>0.78</v>
      </c>
      <c r="BH117" s="52">
        <f>'CZ05 BC Factors'!J41</f>
        <v>1.1700000000000002</v>
      </c>
      <c r="BI117" s="62">
        <f>'CZ05 BC Factors'!K41</f>
        <v>1.1019999999999999</v>
      </c>
      <c r="BK117" s="57">
        <v>0</v>
      </c>
      <c r="BL117" s="51">
        <f>'CZ06 Factors'!D39</f>
        <v>0.88200000000000001</v>
      </c>
      <c r="BM117" s="61">
        <f>'CZ06 Factors'!E39</f>
        <v>1.0530000000000002</v>
      </c>
      <c r="BN117" s="52">
        <f>'CZ06 Factors'!F39</f>
        <v>1.0349999999999999</v>
      </c>
      <c r="BO117" s="61">
        <f>'CZ06 Factors'!G39</f>
        <v>0.5655</v>
      </c>
      <c r="BP117" s="52">
        <f>'CZ06 Factors'!H39</f>
        <v>0.24399999999999999</v>
      </c>
      <c r="BQ117" s="61">
        <f>'CZ06 Factors'!I39</f>
        <v>0.96074999999999999</v>
      </c>
      <c r="BR117" s="52">
        <f>'CZ06 Factors'!J39</f>
        <v>2.0019999999999998</v>
      </c>
      <c r="BS117" s="62">
        <f>'CZ06 Factors'!K39</f>
        <v>1.5375999999999999</v>
      </c>
      <c r="BU117" s="57">
        <v>0</v>
      </c>
      <c r="BV117" s="51">
        <f>'CZ07 Factors'!D41</f>
        <v>1.1519999999999999</v>
      </c>
      <c r="BW117" s="61">
        <f>'CZ07 Factors'!E41</f>
        <v>1.17</v>
      </c>
      <c r="BX117" s="52">
        <f>'CZ07 Factors'!F41</f>
        <v>0.96799999999999997</v>
      </c>
      <c r="BY117" s="61">
        <f>'CZ07 Factors'!G41</f>
        <v>0.75199999999999989</v>
      </c>
      <c r="BZ117" s="52">
        <f>'CZ07 Factors'!H41</f>
        <v>0.51200000000000001</v>
      </c>
      <c r="CA117" s="61">
        <f>'CZ07 Factors'!I41</f>
        <v>0.77350000000000008</v>
      </c>
      <c r="CB117" s="52">
        <f>'CZ07 Factors'!J41</f>
        <v>1.071</v>
      </c>
      <c r="CC117" s="62">
        <f>'CZ07 Factors'!K41</f>
        <v>1.2389999999999999</v>
      </c>
      <c r="CE117" s="57">
        <v>0</v>
      </c>
      <c r="CF117" s="51">
        <f>'CZ08 Factors'!D41</f>
        <v>0.69699999999999995</v>
      </c>
      <c r="CG117" s="61">
        <f>'CZ08 Factors'!E41</f>
        <v>1.0752000000000002</v>
      </c>
      <c r="CH117" s="52">
        <f>'CZ08 Factors'!F41</f>
        <v>1.32</v>
      </c>
      <c r="CI117" s="61">
        <f>'CZ08 Factors'!G41</f>
        <v>0.72</v>
      </c>
      <c r="CJ117" s="52">
        <f>'CZ08 Factors'!H41</f>
        <v>0.27200000000000002</v>
      </c>
      <c r="CK117" s="61">
        <f>'CZ08 Factors'!I41</f>
        <v>0.70195000000000007</v>
      </c>
      <c r="CL117" s="52">
        <f>'CZ08 Factors'!J41</f>
        <v>1.2573000000000001</v>
      </c>
      <c r="CM117" s="62">
        <f>'CZ08 Factors'!K41</f>
        <v>1.0498000000000001</v>
      </c>
    </row>
    <row r="118" spans="1:91" x14ac:dyDescent="0.25">
      <c r="A118" s="24"/>
      <c r="B118" s="66">
        <f t="shared" si="14"/>
        <v>105</v>
      </c>
      <c r="C118" s="128">
        <v>0.05</v>
      </c>
      <c r="D118" s="89">
        <f>'CZ01 Factors'!D24</f>
        <v>0.51479999999999992</v>
      </c>
      <c r="E118" s="90">
        <f>'CZ01 Factors'!E24</f>
        <v>0.84359999999999991</v>
      </c>
      <c r="F118" s="91">
        <f>'CZ01 Factors'!F24</f>
        <v>1.3209000000000002</v>
      </c>
      <c r="G118" s="90">
        <f>'CZ01 Factors'!G24</f>
        <v>1.0847999999999998</v>
      </c>
      <c r="H118" s="91">
        <f>'CZ01 Factors'!H24</f>
        <v>0.60750000000000004</v>
      </c>
      <c r="I118" s="90">
        <f>'CZ01 Factors'!I24</f>
        <v>1.0588500000000001</v>
      </c>
      <c r="J118" s="91">
        <f>'CZ01 Factors'!J24</f>
        <v>1.23</v>
      </c>
      <c r="K118" s="92">
        <f>'CZ01 Factors'!K24</f>
        <v>0.81374999999999986</v>
      </c>
      <c r="M118" s="129">
        <v>0.05</v>
      </c>
      <c r="N118" s="89">
        <f>'CZ02 Factors'!D42</f>
        <v>0.36</v>
      </c>
      <c r="O118" s="90">
        <f>'CZ02 Factors'!E42</f>
        <v>0.71299999999999997</v>
      </c>
      <c r="P118" s="91">
        <f>'CZ02 Factors'!F42</f>
        <v>1.0450000000000002</v>
      </c>
      <c r="Q118" s="90">
        <f>'CZ02 Factors'!G42</f>
        <v>0.66699999999999993</v>
      </c>
      <c r="R118" s="91">
        <f>'CZ02 Factors'!H42</f>
        <v>0.3</v>
      </c>
      <c r="S118" s="90">
        <f>'CZ02 Factors'!I42</f>
        <v>0.95949999999999991</v>
      </c>
      <c r="T118" s="91">
        <f>'CZ02 Factors'!J42</f>
        <v>1.722</v>
      </c>
      <c r="U118" s="92">
        <f>'CZ02 Factors'!K42</f>
        <v>0.99</v>
      </c>
      <c r="W118" s="129">
        <v>0.05</v>
      </c>
      <c r="X118" s="89">
        <f>'CZ03 Factors'!D42</f>
        <v>0.65799999999999992</v>
      </c>
      <c r="Y118" s="90">
        <f>'CZ03 Factors'!E42</f>
        <v>1.1749999999999998</v>
      </c>
      <c r="Z118" s="91">
        <f>'CZ03 Factors'!F42</f>
        <v>1.4520000000000002</v>
      </c>
      <c r="AA118" s="90">
        <f>'CZ03 Factors'!G42</f>
        <v>1.2420000000000002</v>
      </c>
      <c r="AB118" s="91">
        <f>'CZ03 Factors'!H42</f>
        <v>0.68399999999999994</v>
      </c>
      <c r="AC118" s="90">
        <f>'CZ03 Factors'!I42</f>
        <v>1.05</v>
      </c>
      <c r="AD118" s="91">
        <f>'CZ03 Factors'!J42</f>
        <v>1.008</v>
      </c>
      <c r="AE118" s="92">
        <f>'CZ03 Factors'!K42</f>
        <v>0.99</v>
      </c>
      <c r="AG118" s="129">
        <v>0.05</v>
      </c>
      <c r="AH118" s="89">
        <f>'CZ04 Factors'!D42</f>
        <v>0.66</v>
      </c>
      <c r="AI118" s="90">
        <f>'CZ04 Factors'!E42</f>
        <v>1.0449999999999999</v>
      </c>
      <c r="AJ118" s="91">
        <f>'CZ04 Factors'!F42</f>
        <v>1.048</v>
      </c>
      <c r="AK118" s="90">
        <f>'CZ04 Factors'!G42</f>
        <v>0.63050000000000006</v>
      </c>
      <c r="AL118" s="91">
        <f>'CZ04 Factors'!H42</f>
        <v>0.24499999999999997</v>
      </c>
      <c r="AM118" s="90">
        <f>'CZ04 Factors'!I42</f>
        <v>0.59150000000000003</v>
      </c>
      <c r="AN118" s="91">
        <f>'CZ04 Factors'!J42</f>
        <v>0.97600000000000009</v>
      </c>
      <c r="AO118" s="92">
        <f>'CZ04 Factors'!K42</f>
        <v>0.96900000000000008</v>
      </c>
      <c r="AQ118" s="129">
        <v>0.05</v>
      </c>
      <c r="AR118" s="89">
        <f>'CZ05 Factors'!D42</f>
        <v>0.56579999999999986</v>
      </c>
      <c r="AS118" s="90">
        <f>'CZ05 Factors'!E42</f>
        <v>0.81599999999999984</v>
      </c>
      <c r="AT118" s="91">
        <f>'CZ05 Factors'!F42</f>
        <v>0.9416000000000001</v>
      </c>
      <c r="AU118" s="90">
        <f>'CZ05 Factors'!G42</f>
        <v>0.54400000000000004</v>
      </c>
      <c r="AV118" s="91">
        <f>'CZ05 Factors'!H42</f>
        <v>0.22799999999999998</v>
      </c>
      <c r="AW118" s="90">
        <f>'CZ05 Factors'!I42</f>
        <v>0.59340000000000004</v>
      </c>
      <c r="AX118" s="91">
        <f>'CZ05 Factors'!J42</f>
        <v>1.0590999999999999</v>
      </c>
      <c r="AY118" s="92">
        <f>'CZ05 Factors'!K42</f>
        <v>0.88919999999999999</v>
      </c>
      <c r="AZ118" s="203"/>
      <c r="BA118" s="129">
        <v>0.05</v>
      </c>
      <c r="BB118" s="89">
        <f>'CZ05 BC Factors'!D42</f>
        <v>0.69</v>
      </c>
      <c r="BC118" s="90">
        <f>'CZ05 BC Factors'!E42</f>
        <v>0.91200000000000003</v>
      </c>
      <c r="BD118" s="91">
        <f>'CZ05 BC Factors'!F42</f>
        <v>0.96300000000000008</v>
      </c>
      <c r="BE118" s="90">
        <f>'CZ05 BC Factors'!G42</f>
        <v>0.63749999999999996</v>
      </c>
      <c r="BF118" s="91">
        <f>'CZ05 BC Factors'!H42</f>
        <v>0.34199999999999997</v>
      </c>
      <c r="BG118" s="90">
        <f>'CZ05 BC Factors'!I42</f>
        <v>0.69</v>
      </c>
      <c r="BH118" s="91">
        <f>'CZ05 BC Factors'!J42</f>
        <v>1.0710000000000002</v>
      </c>
      <c r="BI118" s="92">
        <f>'CZ05 BC Factors'!K42</f>
        <v>0.98799999999999999</v>
      </c>
      <c r="BK118" s="129">
        <v>0.05</v>
      </c>
      <c r="BL118" s="89">
        <f>'CZ06 Factors'!D40</f>
        <v>0.74550000000000005</v>
      </c>
      <c r="BM118" s="90">
        <f>'CZ06 Factors'!E40</f>
        <v>0.94574999999999998</v>
      </c>
      <c r="BN118" s="91">
        <f>'CZ06 Factors'!F40</f>
        <v>0.94499999999999995</v>
      </c>
      <c r="BO118" s="90">
        <f>'CZ06 Factors'!G40</f>
        <v>0.50700000000000001</v>
      </c>
      <c r="BP118" s="91">
        <f>'CZ06 Factors'!H40</f>
        <v>0.20800000000000002</v>
      </c>
      <c r="BQ118" s="90">
        <f>'CZ06 Factors'!I40</f>
        <v>0.87839999999999996</v>
      </c>
      <c r="BR118" s="91">
        <f>'CZ06 Factors'!J40</f>
        <v>1.859</v>
      </c>
      <c r="BS118" s="92">
        <f>'CZ06 Factors'!K40</f>
        <v>1.4011999999999998</v>
      </c>
      <c r="BU118" s="129">
        <v>0.05</v>
      </c>
      <c r="BV118" s="89">
        <f>'CZ07 Factors'!D42</f>
        <v>0.996</v>
      </c>
      <c r="BW118" s="90">
        <f>'CZ07 Factors'!E42</f>
        <v>1.05</v>
      </c>
      <c r="BX118" s="91">
        <f>'CZ07 Factors'!F42</f>
        <v>0.88</v>
      </c>
      <c r="BY118" s="90">
        <f>'CZ07 Factors'!G42</f>
        <v>0.66399999999999992</v>
      </c>
      <c r="BZ118" s="91">
        <f>'CZ07 Factors'!H42</f>
        <v>0.432</v>
      </c>
      <c r="CA118" s="90">
        <f>'CZ07 Factors'!I42</f>
        <v>0.68850000000000011</v>
      </c>
      <c r="CB118" s="91">
        <f>'CZ07 Factors'!J42</f>
        <v>0.98099999999999998</v>
      </c>
      <c r="CC118" s="92">
        <f>'CZ07 Factors'!K42</f>
        <v>1.1235000000000002</v>
      </c>
      <c r="CE118" s="129">
        <v>0.05</v>
      </c>
      <c r="CF118" s="89">
        <f>'CZ08 Factors'!D42</f>
        <v>0.58219999999999994</v>
      </c>
      <c r="CG118" s="90">
        <f>'CZ08 Factors'!E42</f>
        <v>0.95040000000000002</v>
      </c>
      <c r="CH118" s="91">
        <f>'CZ08 Factors'!F42</f>
        <v>1.1990000000000003</v>
      </c>
      <c r="CI118" s="90">
        <f>'CZ08 Factors'!G42</f>
        <v>0.63749999999999996</v>
      </c>
      <c r="CJ118" s="91">
        <f>'CZ08 Factors'!H42</f>
        <v>0.22799999999999998</v>
      </c>
      <c r="CK118" s="90">
        <f>'CZ08 Factors'!I42</f>
        <v>0.62550000000000006</v>
      </c>
      <c r="CL118" s="91">
        <f>'CZ08 Factors'!J42</f>
        <v>1.1484000000000001</v>
      </c>
      <c r="CM118" s="92">
        <f>'CZ08 Factors'!K42</f>
        <v>0.94120000000000015</v>
      </c>
    </row>
    <row r="119" spans="1:91" x14ac:dyDescent="0.25">
      <c r="A119" s="24"/>
      <c r="B119" s="66">
        <f t="shared" si="14"/>
        <v>210</v>
      </c>
      <c r="C119" s="128">
        <v>0.1</v>
      </c>
      <c r="D119" s="89">
        <f>'CZ01 Factors'!D25</f>
        <v>0.47969999999999996</v>
      </c>
      <c r="E119" s="90">
        <f>'CZ01 Factors'!E25</f>
        <v>0.7752</v>
      </c>
      <c r="F119" s="91">
        <f>'CZ01 Factors'!F25</f>
        <v>1.2321000000000002</v>
      </c>
      <c r="G119" s="90">
        <f>'CZ01 Factors'!G25</f>
        <v>1.0271999999999999</v>
      </c>
      <c r="H119" s="91">
        <f>'CZ01 Factors'!H25</f>
        <v>0.55080000000000007</v>
      </c>
      <c r="I119" s="90">
        <f>'CZ01 Factors'!I25</f>
        <v>0.98645000000000016</v>
      </c>
      <c r="J119" s="91">
        <f>'CZ01 Factors'!J25</f>
        <v>1.1499999999999999</v>
      </c>
      <c r="K119" s="92">
        <f>'CZ01 Factors'!K25</f>
        <v>0.74864999999999993</v>
      </c>
      <c r="M119" s="129">
        <v>0.1</v>
      </c>
      <c r="N119" s="89">
        <f>'CZ02 Factors'!D43</f>
        <v>0.33</v>
      </c>
      <c r="O119" s="90">
        <f>'CZ02 Factors'!E43</f>
        <v>0.65874999999999995</v>
      </c>
      <c r="P119" s="91">
        <f>'CZ02 Factors'!F43</f>
        <v>0.9880000000000001</v>
      </c>
      <c r="Q119" s="90">
        <f>'CZ02 Factors'!G43</f>
        <v>0.62349999999999994</v>
      </c>
      <c r="R119" s="91">
        <f>'CZ02 Factors'!H43</f>
        <v>0.28499999999999998</v>
      </c>
      <c r="S119" s="90">
        <f>'CZ02 Factors'!I43</f>
        <v>0.8929999999999999</v>
      </c>
      <c r="T119" s="91">
        <f>'CZ02 Factors'!J43</f>
        <v>1.5959999999999996</v>
      </c>
      <c r="U119" s="92">
        <f>'CZ02 Factors'!K43</f>
        <v>0.9</v>
      </c>
      <c r="W119" s="129">
        <v>0.1</v>
      </c>
      <c r="X119" s="89">
        <f>'CZ03 Factors'!D43</f>
        <v>0.61599999999999999</v>
      </c>
      <c r="Y119" s="90">
        <f>'CZ03 Factors'!E43</f>
        <v>1.0625</v>
      </c>
      <c r="Z119" s="91">
        <f>'CZ03 Factors'!F43</f>
        <v>1.3750000000000002</v>
      </c>
      <c r="AA119" s="90">
        <f>'CZ03 Factors'!G43</f>
        <v>1.173</v>
      </c>
      <c r="AB119" s="91">
        <f>'CZ03 Factors'!H43</f>
        <v>0.64800000000000002</v>
      </c>
      <c r="AC119" s="90">
        <f>'CZ03 Factors'!I43</f>
        <v>0.99</v>
      </c>
      <c r="AD119" s="91">
        <f>'CZ03 Factors'!J43</f>
        <v>0.95199999999999996</v>
      </c>
      <c r="AE119" s="92">
        <f>'CZ03 Factors'!K43</f>
        <v>0.91299999999999992</v>
      </c>
      <c r="AG119" s="129">
        <v>0.1</v>
      </c>
      <c r="AH119" s="89">
        <f>'CZ04 Factors'!D43</f>
        <v>0.60500000000000009</v>
      </c>
      <c r="AI119" s="90">
        <f>'CZ04 Factors'!E43</f>
        <v>0.94999999999999984</v>
      </c>
      <c r="AJ119" s="91">
        <f>'CZ04 Factors'!F43</f>
        <v>0.99199999999999999</v>
      </c>
      <c r="AK119" s="90">
        <f>'CZ04 Factors'!G43</f>
        <v>0.59150000000000014</v>
      </c>
      <c r="AL119" s="91">
        <f>'CZ04 Factors'!H43</f>
        <v>0.23</v>
      </c>
      <c r="AM119" s="90">
        <f>'CZ04 Factors'!I43</f>
        <v>0.55249999999999999</v>
      </c>
      <c r="AN119" s="91">
        <f>'CZ04 Factors'!J43</f>
        <v>0.93599999999999994</v>
      </c>
      <c r="AO119" s="92">
        <f>'CZ04 Factors'!K43</f>
        <v>0.8929999999999999</v>
      </c>
      <c r="AQ119" s="129">
        <v>0.1</v>
      </c>
      <c r="AR119" s="89">
        <f>'CZ05 Factors'!D43</f>
        <v>0.51659999999999995</v>
      </c>
      <c r="AS119" s="90">
        <f>'CZ05 Factors'!E43</f>
        <v>0.74799999999999989</v>
      </c>
      <c r="AT119" s="91">
        <f>'CZ05 Factors'!F43</f>
        <v>0.88880000000000003</v>
      </c>
      <c r="AU119" s="90">
        <f>'CZ05 Factors'!G43</f>
        <v>0.50560000000000005</v>
      </c>
      <c r="AV119" s="91">
        <f>'CZ05 Factors'!H43</f>
        <v>0.216</v>
      </c>
      <c r="AW119" s="90">
        <f>'CZ05 Factors'!I43</f>
        <v>0.55469999999999997</v>
      </c>
      <c r="AX119" s="91">
        <f>'CZ05 Factors'!J43</f>
        <v>0.98790000000000011</v>
      </c>
      <c r="AY119" s="92">
        <f>'CZ05 Factors'!K43</f>
        <v>0.80369999999999997</v>
      </c>
      <c r="AZ119" s="203"/>
      <c r="BA119" s="129">
        <v>0.1</v>
      </c>
      <c r="BB119" s="89">
        <f>'CZ05 BC Factors'!D43</f>
        <v>0.63</v>
      </c>
      <c r="BC119" s="90">
        <f>'CZ05 BC Factors'!E43</f>
        <v>0.83599999999999997</v>
      </c>
      <c r="BD119" s="91">
        <f>'CZ05 BC Factors'!F43</f>
        <v>0.90900000000000003</v>
      </c>
      <c r="BE119" s="90">
        <f>'CZ05 BC Factors'!G43</f>
        <v>0.59250000000000003</v>
      </c>
      <c r="BF119" s="91">
        <f>'CZ05 BC Factors'!H43</f>
        <v>0.32400000000000001</v>
      </c>
      <c r="BG119" s="90">
        <f>'CZ05 BC Factors'!I43</f>
        <v>0.64500000000000002</v>
      </c>
      <c r="BH119" s="91">
        <f>'CZ05 BC Factors'!J43</f>
        <v>0.99900000000000022</v>
      </c>
      <c r="BI119" s="92">
        <f>'CZ05 BC Factors'!K43</f>
        <v>0.89300000000000002</v>
      </c>
      <c r="BK119" s="129">
        <v>0.1</v>
      </c>
      <c r="BL119" s="89">
        <f>'CZ06 Factors'!D41</f>
        <v>0.6825</v>
      </c>
      <c r="BM119" s="90">
        <f>'CZ06 Factors'!E41</f>
        <v>0.87750000000000006</v>
      </c>
      <c r="BN119" s="91">
        <f>'CZ06 Factors'!F41</f>
        <v>0.8909999999999999</v>
      </c>
      <c r="BO119" s="90">
        <f>'CZ06 Factors'!G41</f>
        <v>0.48099999999999998</v>
      </c>
      <c r="BP119" s="91">
        <f>'CZ06 Factors'!H41</f>
        <v>0.19600000000000001</v>
      </c>
      <c r="BQ119" s="90">
        <f>'CZ06 Factors'!I41</f>
        <v>0.83265</v>
      </c>
      <c r="BR119" s="91">
        <f>'CZ06 Factors'!J41</f>
        <v>1.7874999999999999</v>
      </c>
      <c r="BS119" s="92">
        <f>'CZ06 Factors'!K41</f>
        <v>1.2895999999999999</v>
      </c>
      <c r="BU119" s="129">
        <v>0.1</v>
      </c>
      <c r="BV119" s="89">
        <f>'CZ07 Factors'!D43</f>
        <v>0.91200000000000003</v>
      </c>
      <c r="BW119" s="90">
        <f>'CZ07 Factors'!E43</f>
        <v>0.97</v>
      </c>
      <c r="BX119" s="91">
        <f>'CZ07 Factors'!F43</f>
        <v>0.83199999999999996</v>
      </c>
      <c r="BY119" s="90">
        <f>'CZ07 Factors'!G43</f>
        <v>0.64</v>
      </c>
      <c r="BZ119" s="91">
        <f>'CZ07 Factors'!H43</f>
        <v>0.40800000000000003</v>
      </c>
      <c r="CA119" s="90">
        <f>'CZ07 Factors'!I43</f>
        <v>0.64600000000000013</v>
      </c>
      <c r="CB119" s="91">
        <f>'CZ07 Factors'!J43</f>
        <v>0.92700000000000005</v>
      </c>
      <c r="CC119" s="92">
        <f>'CZ07 Factors'!K43</f>
        <v>1.0289999999999999</v>
      </c>
      <c r="CE119" s="129">
        <v>0.1</v>
      </c>
      <c r="CF119" s="89">
        <f>'CZ08 Factors'!D43</f>
        <v>0.53300000000000003</v>
      </c>
      <c r="CG119" s="90">
        <f>'CZ08 Factors'!E43</f>
        <v>0.86399999999999999</v>
      </c>
      <c r="CH119" s="91">
        <f>'CZ08 Factors'!F43</f>
        <v>1.1220000000000001</v>
      </c>
      <c r="CI119" s="90">
        <f>'CZ08 Factors'!G43</f>
        <v>0.59250000000000003</v>
      </c>
      <c r="CJ119" s="91">
        <f>'CZ08 Factors'!H43</f>
        <v>0.216</v>
      </c>
      <c r="CK119" s="90">
        <f>'CZ08 Factors'!I43</f>
        <v>0.58379999999999999</v>
      </c>
      <c r="CL119" s="91">
        <f>'CZ08 Factors'!J43</f>
        <v>1.0791000000000002</v>
      </c>
      <c r="CM119" s="92">
        <f>'CZ08 Factors'!K43</f>
        <v>0.85975000000000013</v>
      </c>
    </row>
    <row r="120" spans="1:91" x14ac:dyDescent="0.25">
      <c r="A120" s="24"/>
      <c r="B120" s="66">
        <f t="shared" si="14"/>
        <v>420</v>
      </c>
      <c r="C120" s="128">
        <v>0.2</v>
      </c>
      <c r="D120" s="89">
        <f>'CZ01 Factors'!D26</f>
        <v>0.4328999999999999</v>
      </c>
      <c r="E120" s="90">
        <f>'CZ01 Factors'!E26</f>
        <v>0.67259999999999986</v>
      </c>
      <c r="F120" s="91">
        <f>'CZ01 Factors'!F26</f>
        <v>1.1211</v>
      </c>
      <c r="G120" s="90">
        <f>'CZ01 Factors'!G26</f>
        <v>0.90239999999999987</v>
      </c>
      <c r="H120" s="91">
        <f>'CZ01 Factors'!H26</f>
        <v>0.44550000000000001</v>
      </c>
      <c r="I120" s="90">
        <f>'CZ01 Factors'!I26</f>
        <v>0.85070000000000001</v>
      </c>
      <c r="J120" s="91">
        <f>'CZ01 Factors'!J26</f>
        <v>1</v>
      </c>
      <c r="K120" s="92">
        <f>'CZ01 Factors'!K26</f>
        <v>0.65100000000000002</v>
      </c>
      <c r="M120" s="129">
        <v>0.2</v>
      </c>
      <c r="N120" s="89">
        <f>'CZ02 Factors'!D44</f>
        <v>0.28200000000000003</v>
      </c>
      <c r="O120" s="90">
        <f>'CZ02 Factors'!E44</f>
        <v>0.5734999999999999</v>
      </c>
      <c r="P120" s="91">
        <f>'CZ02 Factors'!F44</f>
        <v>0.87400000000000011</v>
      </c>
      <c r="Q120" s="90">
        <f>'CZ02 Factors'!G44</f>
        <v>0.55099999999999993</v>
      </c>
      <c r="R120" s="91">
        <f>'CZ02 Factors'!H44</f>
        <v>0.24999999999999997</v>
      </c>
      <c r="S120" s="90">
        <f>'CZ02 Factors'!I44</f>
        <v>0.79799999999999993</v>
      </c>
      <c r="T120" s="91">
        <f>'CZ02 Factors'!J44</f>
        <v>1.3999999999999997</v>
      </c>
      <c r="U120" s="92">
        <f>'CZ02 Factors'!K44</f>
        <v>0.78</v>
      </c>
      <c r="W120" s="129">
        <v>0.2</v>
      </c>
      <c r="X120" s="89">
        <f>'CZ03 Factors'!D44</f>
        <v>0.53199999999999992</v>
      </c>
      <c r="Y120" s="90">
        <f>'CZ03 Factors'!E44</f>
        <v>0.91249999999999998</v>
      </c>
      <c r="Z120" s="91">
        <f>'CZ03 Factors'!F44</f>
        <v>1.2100000000000002</v>
      </c>
      <c r="AA120" s="90">
        <f>'CZ03 Factors'!G44</f>
        <v>1.0350000000000001</v>
      </c>
      <c r="AB120" s="91">
        <f>'CZ03 Factors'!H44</f>
        <v>0.55200000000000005</v>
      </c>
      <c r="AC120" s="90">
        <f>'CZ03 Factors'!I44</f>
        <v>0.86999999999999988</v>
      </c>
      <c r="AD120" s="91">
        <f>'CZ03 Factors'!J44</f>
        <v>0.84800000000000009</v>
      </c>
      <c r="AE120" s="92">
        <f>'CZ03 Factors'!K44</f>
        <v>0.80299999999999994</v>
      </c>
      <c r="AG120" s="129">
        <v>0.2</v>
      </c>
      <c r="AH120" s="89">
        <f>'CZ04 Factors'!D44</f>
        <v>0.51700000000000002</v>
      </c>
      <c r="AI120" s="90">
        <f>'CZ04 Factors'!E44</f>
        <v>0.82650000000000001</v>
      </c>
      <c r="AJ120" s="91">
        <f>'CZ04 Factors'!F44</f>
        <v>0.89600000000000013</v>
      </c>
      <c r="AK120" s="90">
        <f>'CZ04 Factors'!G44</f>
        <v>0.53300000000000003</v>
      </c>
      <c r="AL120" s="91">
        <f>'CZ04 Factors'!H44</f>
        <v>0.20499999999999999</v>
      </c>
      <c r="AM120" s="90">
        <f>'CZ04 Factors'!I44</f>
        <v>0.49399999999999999</v>
      </c>
      <c r="AN120" s="91">
        <f>'CZ04 Factors'!J44</f>
        <v>0.84000000000000008</v>
      </c>
      <c r="AO120" s="92">
        <f>'CZ04 Factors'!K44</f>
        <v>0.76950000000000007</v>
      </c>
      <c r="AQ120" s="129">
        <v>0.2</v>
      </c>
      <c r="AR120" s="89">
        <f>'CZ05 Factors'!D44</f>
        <v>0.41819999999999991</v>
      </c>
      <c r="AS120" s="90">
        <f>'CZ05 Factors'!E44</f>
        <v>0.6459999999999998</v>
      </c>
      <c r="AT120" s="91">
        <f>'CZ05 Factors'!F44</f>
        <v>0.7831999999999999</v>
      </c>
      <c r="AU120" s="90">
        <f>'CZ05 Factors'!G44</f>
        <v>0.44800000000000001</v>
      </c>
      <c r="AV120" s="91">
        <f>'CZ05 Factors'!H44</f>
        <v>0.192</v>
      </c>
      <c r="AW120" s="90">
        <f>'CZ05 Factors'!I44</f>
        <v>0.49020000000000002</v>
      </c>
      <c r="AX120" s="91">
        <f>'CZ05 Factors'!J44</f>
        <v>0.88109999999999999</v>
      </c>
      <c r="AY120" s="92">
        <f>'CZ05 Factors'!K44</f>
        <v>0.70965</v>
      </c>
      <c r="AZ120" s="203"/>
      <c r="BA120" s="129">
        <v>0.2</v>
      </c>
      <c r="BB120" s="89">
        <f>'CZ05 BC Factors'!D44</f>
        <v>0.51</v>
      </c>
      <c r="BC120" s="90">
        <f>'CZ05 BC Factors'!E44</f>
        <v>0.72199999999999998</v>
      </c>
      <c r="BD120" s="91">
        <f>'CZ05 BC Factors'!F44</f>
        <v>0.80099999999999993</v>
      </c>
      <c r="BE120" s="90">
        <f>'CZ05 BC Factors'!G44</f>
        <v>0.52499999999999991</v>
      </c>
      <c r="BF120" s="91">
        <f>'CZ05 BC Factors'!H44</f>
        <v>0.28799999999999998</v>
      </c>
      <c r="BG120" s="90">
        <f>'CZ05 BC Factors'!I44</f>
        <v>0.56999999999999995</v>
      </c>
      <c r="BH120" s="91">
        <f>'CZ05 BC Factors'!J44</f>
        <v>0.89100000000000001</v>
      </c>
      <c r="BI120" s="92">
        <f>'CZ05 BC Factors'!K44</f>
        <v>0.78849999999999998</v>
      </c>
      <c r="BK120" s="129">
        <v>0.2</v>
      </c>
      <c r="BL120" s="89">
        <f>'CZ06 Factors'!D42</f>
        <v>0.54600000000000004</v>
      </c>
      <c r="BM120" s="90">
        <f>'CZ06 Factors'!E42</f>
        <v>0.75075000000000003</v>
      </c>
      <c r="BN120" s="91">
        <f>'CZ06 Factors'!F42</f>
        <v>0.79199999999999993</v>
      </c>
      <c r="BO120" s="90">
        <f>'CZ06 Factors'!G42</f>
        <v>0.42249999999999999</v>
      </c>
      <c r="BP120" s="91">
        <f>'CZ06 Factors'!H42</f>
        <v>0.17599999999999999</v>
      </c>
      <c r="BQ120" s="90">
        <f>'CZ06 Factors'!I42</f>
        <v>0.75029999999999986</v>
      </c>
      <c r="BR120" s="91">
        <f>'CZ06 Factors'!J42</f>
        <v>1.6016000000000001</v>
      </c>
      <c r="BS120" s="92">
        <f>'CZ06 Factors'!K42</f>
        <v>1.1283999999999998</v>
      </c>
      <c r="BU120" s="129">
        <v>0.2</v>
      </c>
      <c r="BV120" s="89">
        <f>'CZ07 Factors'!D44</f>
        <v>0.74399999999999999</v>
      </c>
      <c r="BW120" s="90">
        <f>'CZ07 Factors'!E44</f>
        <v>0.84999999999999987</v>
      </c>
      <c r="BX120" s="91">
        <f>'CZ07 Factors'!F44</f>
        <v>0.74400000000000011</v>
      </c>
      <c r="BY120" s="90">
        <f>'CZ07 Factors'!G44</f>
        <v>0.55999999999999994</v>
      </c>
      <c r="BZ120" s="91">
        <f>'CZ07 Factors'!H44</f>
        <v>0.36</v>
      </c>
      <c r="CA120" s="90">
        <f>'CZ07 Factors'!I44</f>
        <v>0.57800000000000007</v>
      </c>
      <c r="CB120" s="91">
        <f>'CZ07 Factors'!J44</f>
        <v>0.81900000000000006</v>
      </c>
      <c r="CC120" s="92">
        <f>'CZ07 Factors'!K44</f>
        <v>0.90300000000000002</v>
      </c>
      <c r="CE120" s="129">
        <v>0.2</v>
      </c>
      <c r="CF120" s="89">
        <f>'CZ08 Factors'!D44</f>
        <v>0.4264</v>
      </c>
      <c r="CG120" s="90">
        <f>'CZ08 Factors'!E44</f>
        <v>0.75840000000000007</v>
      </c>
      <c r="CH120" s="91">
        <f>'CZ08 Factors'!F44</f>
        <v>0.99</v>
      </c>
      <c r="CI120" s="90">
        <f>'CZ08 Factors'!G44</f>
        <v>0.52499999999999991</v>
      </c>
      <c r="CJ120" s="91">
        <f>'CZ08 Factors'!H44</f>
        <v>0.192</v>
      </c>
      <c r="CK120" s="90">
        <f>'CZ08 Factors'!I44</f>
        <v>0.50735000000000008</v>
      </c>
      <c r="CL120" s="91">
        <f>'CZ08 Factors'!J44</f>
        <v>0.97020000000000006</v>
      </c>
      <c r="CM120" s="92">
        <f>'CZ08 Factors'!K44</f>
        <v>0.7511500000000001</v>
      </c>
    </row>
    <row r="121" spans="1:91" x14ac:dyDescent="0.25">
      <c r="A121" s="24"/>
      <c r="B121" s="66">
        <f t="shared" si="14"/>
        <v>840</v>
      </c>
      <c r="C121" s="128">
        <v>0.4</v>
      </c>
      <c r="D121" s="89">
        <f>'CZ01 Factors'!D27</f>
        <v>0.35099999999999992</v>
      </c>
      <c r="E121" s="90">
        <f>'CZ01 Factors'!E27</f>
        <v>0.5129999999999999</v>
      </c>
      <c r="F121" s="91">
        <f>'CZ01 Factors'!F27</f>
        <v>0.87690000000000012</v>
      </c>
      <c r="G121" s="90">
        <f>'CZ01 Factors'!G27</f>
        <v>0.66239999999999988</v>
      </c>
      <c r="H121" s="91">
        <f>'CZ01 Factors'!H27</f>
        <v>0.34019999999999995</v>
      </c>
      <c r="I121" s="90">
        <f>'CZ01 Factors'!I27</f>
        <v>0.67874999999999996</v>
      </c>
      <c r="J121" s="91">
        <f>'CZ01 Factors'!J27</f>
        <v>0.82999999999999985</v>
      </c>
      <c r="K121" s="92">
        <f>'CZ01 Factors'!K27</f>
        <v>0.50995000000000001</v>
      </c>
      <c r="M121" s="129">
        <v>0.4</v>
      </c>
      <c r="N121" s="89">
        <f>'CZ02 Factors'!D45</f>
        <v>0.23400000000000004</v>
      </c>
      <c r="O121" s="90">
        <f>'CZ02 Factors'!E45</f>
        <v>0.434</v>
      </c>
      <c r="P121" s="91">
        <f>'CZ02 Factors'!F45</f>
        <v>0.69350000000000001</v>
      </c>
      <c r="Q121" s="90">
        <f>'CZ02 Factors'!G45</f>
        <v>0.44224999999999992</v>
      </c>
      <c r="R121" s="91">
        <f>'CZ02 Factors'!H45</f>
        <v>0.2</v>
      </c>
      <c r="S121" s="90">
        <f>'CZ02 Factors'!I45</f>
        <v>0.63650000000000007</v>
      </c>
      <c r="T121" s="91">
        <f>'CZ02 Factors'!J45</f>
        <v>1.1619999999999997</v>
      </c>
      <c r="U121" s="92">
        <f>'CZ02 Factors'!K45</f>
        <v>0.6</v>
      </c>
      <c r="W121" s="129">
        <v>0.4</v>
      </c>
      <c r="X121" s="89">
        <f>'CZ03 Factors'!D45</f>
        <v>0.44800000000000001</v>
      </c>
      <c r="Y121" s="90">
        <f>'CZ03 Factors'!E45</f>
        <v>0.70000000000000018</v>
      </c>
      <c r="Z121" s="91">
        <f>'CZ03 Factors'!F45</f>
        <v>0.96800000000000008</v>
      </c>
      <c r="AA121" s="90">
        <f>'CZ03 Factors'!G45</f>
        <v>0.81649999999999989</v>
      </c>
      <c r="AB121" s="91">
        <f>'CZ03 Factors'!H45</f>
        <v>0.45599999999999996</v>
      </c>
      <c r="AC121" s="90">
        <f>'CZ03 Factors'!I45</f>
        <v>0.72</v>
      </c>
      <c r="AD121" s="91">
        <f>'CZ03 Factors'!J45</f>
        <v>0.67199999999999993</v>
      </c>
      <c r="AE121" s="92">
        <f>'CZ03 Factors'!K45</f>
        <v>0.61599999999999999</v>
      </c>
      <c r="AG121" s="129">
        <v>0.4</v>
      </c>
      <c r="AH121" s="89">
        <f>'CZ04 Factors'!D45</f>
        <v>0.4290000000000001</v>
      </c>
      <c r="AI121" s="90">
        <f>'CZ04 Factors'!E45</f>
        <v>0.62699999999999989</v>
      </c>
      <c r="AJ121" s="91">
        <f>'CZ04 Factors'!F45</f>
        <v>0.7360000000000001</v>
      </c>
      <c r="AK121" s="90">
        <f>'CZ04 Factors'!G45</f>
        <v>0.43550000000000011</v>
      </c>
      <c r="AL121" s="91">
        <f>'CZ04 Factors'!H45</f>
        <v>0.17</v>
      </c>
      <c r="AM121" s="90">
        <f>'CZ04 Factors'!I45</f>
        <v>0.40300000000000002</v>
      </c>
      <c r="AN121" s="91">
        <f>'CZ04 Factors'!J45</f>
        <v>0.68</v>
      </c>
      <c r="AO121" s="92">
        <f>'CZ04 Factors'!K45</f>
        <v>0.58899999999999997</v>
      </c>
      <c r="AQ121" s="129">
        <v>0.4</v>
      </c>
      <c r="AR121" s="89">
        <f>'CZ05 Factors'!D45</f>
        <v>0.31979999999999997</v>
      </c>
      <c r="AS121" s="90">
        <f>'CZ05 Factors'!E45</f>
        <v>0.49299999999999988</v>
      </c>
      <c r="AT121" s="91">
        <f>'CZ05 Factors'!F45</f>
        <v>0.62479999999999991</v>
      </c>
      <c r="AU121" s="90">
        <f>'CZ05 Factors'!G45</f>
        <v>0.36480000000000001</v>
      </c>
      <c r="AV121" s="91">
        <f>'CZ05 Factors'!H45</f>
        <v>0.15200000000000002</v>
      </c>
      <c r="AW121" s="90">
        <f>'CZ05 Factors'!I45</f>
        <v>0.39990000000000003</v>
      </c>
      <c r="AX121" s="91">
        <f>'CZ05 Factors'!J45</f>
        <v>0.72089999999999999</v>
      </c>
      <c r="AY121" s="92">
        <f>'CZ05 Factors'!K45</f>
        <v>0.53010000000000002</v>
      </c>
      <c r="AZ121" s="203"/>
      <c r="BA121" s="129">
        <v>0.4</v>
      </c>
      <c r="BB121" s="89">
        <f>'CZ05 BC Factors'!D45</f>
        <v>0.39</v>
      </c>
      <c r="BC121" s="90">
        <f>'CZ05 BC Factors'!E45</f>
        <v>0.55099999999999993</v>
      </c>
      <c r="BD121" s="91">
        <f>'CZ05 BC Factors'!F45</f>
        <v>0.63900000000000001</v>
      </c>
      <c r="BE121" s="90">
        <f>'CZ05 BC Factors'!G45</f>
        <v>0.42749999999999999</v>
      </c>
      <c r="BF121" s="91">
        <f>'CZ05 BC Factors'!H45</f>
        <v>0.22800000000000001</v>
      </c>
      <c r="BG121" s="90">
        <f>'CZ05 BC Factors'!I45</f>
        <v>0.46500000000000002</v>
      </c>
      <c r="BH121" s="91">
        <f>'CZ05 BC Factors'!J45</f>
        <v>0.72900000000000009</v>
      </c>
      <c r="BI121" s="92">
        <f>'CZ05 BC Factors'!K45</f>
        <v>0.58899999999999997</v>
      </c>
      <c r="BK121" s="129">
        <v>0.4</v>
      </c>
      <c r="BL121" s="89">
        <f>'CZ06 Factors'!D43</f>
        <v>0.378</v>
      </c>
      <c r="BM121" s="90">
        <f>'CZ06 Factors'!E43</f>
        <v>0.5655</v>
      </c>
      <c r="BN121" s="91">
        <f>'CZ06 Factors'!F43</f>
        <v>0.6389999999999999</v>
      </c>
      <c r="BO121" s="90">
        <f>'CZ06 Factors'!G43</f>
        <v>0.35100000000000003</v>
      </c>
      <c r="BP121" s="91">
        <f>'CZ06 Factors'!H43</f>
        <v>0.14399999999999999</v>
      </c>
      <c r="BQ121" s="90">
        <f>'CZ06 Factors'!I43</f>
        <v>0.61305000000000009</v>
      </c>
      <c r="BR121" s="91">
        <f>'CZ06 Factors'!J43</f>
        <v>1.2869999999999999</v>
      </c>
      <c r="BS121" s="92">
        <f>'CZ06 Factors'!K43</f>
        <v>0.85559999999999981</v>
      </c>
      <c r="BU121" s="129">
        <v>0.4</v>
      </c>
      <c r="BV121" s="89">
        <f>'CZ07 Factors'!D45</f>
        <v>0.48</v>
      </c>
      <c r="BW121" s="90">
        <f>'CZ07 Factors'!E45</f>
        <v>0.65</v>
      </c>
      <c r="BX121" s="91">
        <f>'CZ07 Factors'!F45</f>
        <v>0.60799999999999998</v>
      </c>
      <c r="BY121" s="90">
        <f>'CZ07 Factors'!G45</f>
        <v>0.46399999999999991</v>
      </c>
      <c r="BZ121" s="91">
        <f>'CZ07 Factors'!H45</f>
        <v>0.30399999999999999</v>
      </c>
      <c r="CA121" s="90">
        <f>'CZ07 Factors'!I45</f>
        <v>0.46750000000000008</v>
      </c>
      <c r="CB121" s="91">
        <f>'CZ07 Factors'!J45</f>
        <v>0.66600000000000004</v>
      </c>
      <c r="CC121" s="92">
        <f>'CZ07 Factors'!K45</f>
        <v>0.67199999999999993</v>
      </c>
      <c r="CE121" s="129">
        <v>0.4</v>
      </c>
      <c r="CF121" s="89">
        <f>'CZ08 Factors'!D45</f>
        <v>0.31980000000000003</v>
      </c>
      <c r="CG121" s="90">
        <f>'CZ08 Factors'!E45</f>
        <v>0.57600000000000007</v>
      </c>
      <c r="CH121" s="91">
        <f>'CZ08 Factors'!F45</f>
        <v>0.80300000000000016</v>
      </c>
      <c r="CI121" s="90">
        <f>'CZ08 Factors'!G45</f>
        <v>0.42749999999999999</v>
      </c>
      <c r="CJ121" s="91">
        <f>'CZ08 Factors'!H45</f>
        <v>0.156</v>
      </c>
      <c r="CK121" s="90">
        <f>'CZ08 Factors'!I45</f>
        <v>0.42395000000000005</v>
      </c>
      <c r="CL121" s="91">
        <f>'CZ08 Factors'!J45</f>
        <v>0.78210000000000002</v>
      </c>
      <c r="CM121" s="92">
        <f>'CZ08 Factors'!K45</f>
        <v>0.57015000000000005</v>
      </c>
    </row>
    <row r="122" spans="1:91" x14ac:dyDescent="0.25">
      <c r="A122" s="24"/>
      <c r="B122" s="66">
        <f t="shared" si="14"/>
        <v>1260</v>
      </c>
      <c r="C122" s="128">
        <v>0.6</v>
      </c>
      <c r="D122" s="89">
        <f>'CZ01 Factors'!D28</f>
        <v>0.29249999999999993</v>
      </c>
      <c r="E122" s="90">
        <f>'CZ01 Factors'!E28</f>
        <v>0.42179999999999995</v>
      </c>
      <c r="F122" s="91">
        <f>'CZ01 Factors'!F28</f>
        <v>0.73260000000000014</v>
      </c>
      <c r="G122" s="90">
        <f>'CZ01 Factors'!G28</f>
        <v>0.5663999999999999</v>
      </c>
      <c r="H122" s="91">
        <f>'CZ01 Factors'!H28</f>
        <v>0.27540000000000003</v>
      </c>
      <c r="I122" s="90">
        <f>'CZ01 Factors'!I28</f>
        <v>0.54300000000000004</v>
      </c>
      <c r="J122" s="91">
        <f>'CZ01 Factors'!J28</f>
        <v>0.66</v>
      </c>
      <c r="K122" s="92">
        <f>'CZ01 Factors'!K28</f>
        <v>0.4123</v>
      </c>
      <c r="M122" s="129">
        <v>0.6</v>
      </c>
      <c r="N122" s="89">
        <f>'CZ02 Factors'!D46</f>
        <v>0.19800000000000001</v>
      </c>
      <c r="O122" s="90">
        <f>'CZ02 Factors'!E46</f>
        <v>0.34099999999999997</v>
      </c>
      <c r="P122" s="91">
        <f>'CZ02 Factors'!F46</f>
        <v>0.56999999999999995</v>
      </c>
      <c r="Q122" s="90">
        <f>'CZ02 Factors'!G46</f>
        <v>0.35525000000000001</v>
      </c>
      <c r="R122" s="91">
        <f>'CZ02 Factors'!H46</f>
        <v>0.16500000000000001</v>
      </c>
      <c r="S122" s="90">
        <f>'CZ02 Factors'!I46</f>
        <v>0.52249999999999996</v>
      </c>
      <c r="T122" s="91">
        <f>'CZ02 Factors'!J46</f>
        <v>0.93799999999999994</v>
      </c>
      <c r="U122" s="92">
        <f>'CZ02 Factors'!K46</f>
        <v>0.45</v>
      </c>
      <c r="W122" s="129">
        <v>0.6</v>
      </c>
      <c r="X122" s="89">
        <f>'CZ03 Factors'!D46</f>
        <v>0.39200000000000002</v>
      </c>
      <c r="Y122" s="90">
        <f>'CZ03 Factors'!E46</f>
        <v>0.53749999999999998</v>
      </c>
      <c r="Z122" s="91">
        <f>'CZ03 Factors'!F46</f>
        <v>0.81399999999999995</v>
      </c>
      <c r="AA122" s="90">
        <f>'CZ03 Factors'!G46</f>
        <v>0.66699999999999993</v>
      </c>
      <c r="AB122" s="91">
        <f>'CZ03 Factors'!H46</f>
        <v>0.372</v>
      </c>
      <c r="AC122" s="90">
        <f>'CZ03 Factors'!I46</f>
        <v>0.56999999999999995</v>
      </c>
      <c r="AD122" s="91">
        <f>'CZ03 Factors'!J46</f>
        <v>0.56799999999999995</v>
      </c>
      <c r="AE122" s="92">
        <f>'CZ03 Factors'!K46</f>
        <v>0.48399999999999999</v>
      </c>
      <c r="AG122" s="129">
        <v>0.6</v>
      </c>
      <c r="AH122" s="89">
        <f>'CZ04 Factors'!D46</f>
        <v>0.36300000000000004</v>
      </c>
      <c r="AI122" s="90">
        <f>'CZ04 Factors'!E46</f>
        <v>0.47499999999999992</v>
      </c>
      <c r="AJ122" s="91">
        <f>'CZ04 Factors'!F46</f>
        <v>0.59199999999999997</v>
      </c>
      <c r="AK122" s="90">
        <f>'CZ04 Factors'!G46</f>
        <v>0.36400000000000005</v>
      </c>
      <c r="AL122" s="91">
        <f>'CZ04 Factors'!H46</f>
        <v>0.14499999999999999</v>
      </c>
      <c r="AM122" s="90">
        <f>'CZ04 Factors'!I46</f>
        <v>0.34449999999999997</v>
      </c>
      <c r="AN122" s="91">
        <f>'CZ04 Factors'!J46</f>
        <v>0.57599999999999996</v>
      </c>
      <c r="AO122" s="92">
        <f>'CZ04 Factors'!K46</f>
        <v>0.42749999999999999</v>
      </c>
      <c r="AQ122" s="129">
        <v>0.6</v>
      </c>
      <c r="AR122" s="89">
        <f>'CZ05 Factors'!D46</f>
        <v>0.28699999999999992</v>
      </c>
      <c r="AS122" s="90">
        <f>'CZ05 Factors'!E46</f>
        <v>0.3909999999999999</v>
      </c>
      <c r="AT122" s="91">
        <f>'CZ05 Factors'!F46</f>
        <v>0.51039999999999996</v>
      </c>
      <c r="AU122" s="90">
        <f>'CZ05 Factors'!G46</f>
        <v>0.30080000000000001</v>
      </c>
      <c r="AV122" s="91">
        <f>'CZ05 Factors'!H46</f>
        <v>0.13200000000000001</v>
      </c>
      <c r="AW122" s="90">
        <f>'CZ05 Factors'!I46</f>
        <v>0.32895000000000002</v>
      </c>
      <c r="AX122" s="91">
        <f>'CZ05 Factors'!J46</f>
        <v>0.57850000000000001</v>
      </c>
      <c r="AY122" s="92">
        <f>'CZ05 Factors'!K46</f>
        <v>0.41039999999999993</v>
      </c>
      <c r="AZ122" s="203"/>
      <c r="BA122" s="129">
        <v>0.6</v>
      </c>
      <c r="BB122" s="89">
        <f>'CZ05 BC Factors'!D46</f>
        <v>0.35</v>
      </c>
      <c r="BC122" s="90">
        <f>'CZ05 BC Factors'!E46</f>
        <v>0.437</v>
      </c>
      <c r="BD122" s="91">
        <f>'CZ05 BC Factors'!F46</f>
        <v>0.52200000000000002</v>
      </c>
      <c r="BE122" s="90">
        <f>'CZ05 BC Factors'!G46</f>
        <v>0.35249999999999998</v>
      </c>
      <c r="BF122" s="91">
        <f>'CZ05 BC Factors'!H46</f>
        <v>0.19800000000000001</v>
      </c>
      <c r="BG122" s="90">
        <f>'CZ05 BC Factors'!I46</f>
        <v>0.38250000000000001</v>
      </c>
      <c r="BH122" s="91">
        <f>'CZ05 BC Factors'!J46</f>
        <v>0.58500000000000008</v>
      </c>
      <c r="BI122" s="92">
        <f>'CZ05 BC Factors'!K46</f>
        <v>0.45599999999999996</v>
      </c>
      <c r="BK122" s="129">
        <v>0.6</v>
      </c>
      <c r="BL122" s="89">
        <f>'CZ06 Factors'!D44</f>
        <v>0.315</v>
      </c>
      <c r="BM122" s="90">
        <f>'CZ06 Factors'!E44</f>
        <v>0.41925000000000007</v>
      </c>
      <c r="BN122" s="91">
        <f>'CZ06 Factors'!F44</f>
        <v>0.54900000000000004</v>
      </c>
      <c r="BO122" s="90">
        <f>'CZ06 Factors'!G44</f>
        <v>0.29250000000000004</v>
      </c>
      <c r="BP122" s="91">
        <f>'CZ06 Factors'!H44</f>
        <v>0.124</v>
      </c>
      <c r="BQ122" s="90">
        <f>'CZ06 Factors'!I44</f>
        <v>0.53069999999999995</v>
      </c>
      <c r="BR122" s="91">
        <f>'CZ06 Factors'!J44</f>
        <v>1.0868</v>
      </c>
      <c r="BS122" s="92">
        <f>'CZ06 Factors'!K44</f>
        <v>0.63239999999999996</v>
      </c>
      <c r="BU122" s="129">
        <v>0.6</v>
      </c>
      <c r="BV122" s="89">
        <f>'CZ07 Factors'!D46</f>
        <v>0.38400000000000001</v>
      </c>
      <c r="BW122" s="90">
        <f>'CZ07 Factors'!E46</f>
        <v>0.51</v>
      </c>
      <c r="BX122" s="91">
        <f>'CZ07 Factors'!F46</f>
        <v>0.52</v>
      </c>
      <c r="BY122" s="90">
        <f>'CZ07 Factors'!G46</f>
        <v>0.39999999999999991</v>
      </c>
      <c r="BZ122" s="91">
        <f>'CZ07 Factors'!H46</f>
        <v>0.26400000000000001</v>
      </c>
      <c r="CA122" s="90">
        <f>'CZ07 Factors'!I46</f>
        <v>0.39950000000000002</v>
      </c>
      <c r="CB122" s="91">
        <f>'CZ07 Factors'!J46</f>
        <v>0.56699999999999995</v>
      </c>
      <c r="CC122" s="92">
        <f>'CZ07 Factors'!K46</f>
        <v>0.53549999999999998</v>
      </c>
      <c r="CE122" s="129">
        <v>0.6</v>
      </c>
      <c r="CF122" s="89">
        <f>'CZ08 Factors'!D46</f>
        <v>0.27879999999999999</v>
      </c>
      <c r="CG122" s="90">
        <f>'CZ08 Factors'!E46</f>
        <v>0.44160000000000005</v>
      </c>
      <c r="CH122" s="91">
        <f>'CZ08 Factors'!F46</f>
        <v>0.66</v>
      </c>
      <c r="CI122" s="90">
        <f>'CZ08 Factors'!G46</f>
        <v>0.36</v>
      </c>
      <c r="CJ122" s="91">
        <f>'CZ08 Factors'!H46</f>
        <v>0.13200000000000001</v>
      </c>
      <c r="CK122" s="90">
        <f>'CZ08 Factors'!I46</f>
        <v>0.34750000000000003</v>
      </c>
      <c r="CL122" s="91">
        <f>'CZ08 Factors'!J46</f>
        <v>0.65339999999999998</v>
      </c>
      <c r="CM122" s="92">
        <f>'CZ08 Factors'!K46</f>
        <v>0.44345000000000007</v>
      </c>
    </row>
    <row r="123" spans="1:91" x14ac:dyDescent="0.25">
      <c r="A123" s="24"/>
      <c r="B123" s="66">
        <f t="shared" si="14"/>
        <v>1680</v>
      </c>
      <c r="C123" s="128">
        <v>0.8</v>
      </c>
      <c r="D123" s="89">
        <f>'CZ01 Factors'!D29</f>
        <v>0.25739999999999996</v>
      </c>
      <c r="E123" s="90">
        <f>'CZ01 Factors'!E29</f>
        <v>0.35339999999999999</v>
      </c>
      <c r="F123" s="91">
        <f>'CZ01 Factors'!F29</f>
        <v>0.58830000000000005</v>
      </c>
      <c r="G123" s="90">
        <f>'CZ01 Factors'!G29</f>
        <v>0.45119999999999993</v>
      </c>
      <c r="H123" s="91">
        <f>'CZ01 Factors'!H29</f>
        <v>0.24299999999999997</v>
      </c>
      <c r="I123" s="90">
        <f>'CZ01 Factors'!I29</f>
        <v>0.47060000000000002</v>
      </c>
      <c r="J123" s="91">
        <f>'CZ01 Factors'!J29</f>
        <v>0.57999999999999996</v>
      </c>
      <c r="K123" s="92">
        <f>'CZ01 Factors'!K29</f>
        <v>0.34719999999999995</v>
      </c>
      <c r="M123" s="129">
        <v>0.8</v>
      </c>
      <c r="N123" s="89">
        <f>'CZ02 Factors'!D47</f>
        <v>0.17400000000000002</v>
      </c>
      <c r="O123" s="90">
        <f>'CZ02 Factors'!E47</f>
        <v>0.28674999999999995</v>
      </c>
      <c r="P123" s="91">
        <f>'CZ02 Factors'!F47</f>
        <v>0.47500000000000003</v>
      </c>
      <c r="Q123" s="90">
        <f>'CZ02 Factors'!G47</f>
        <v>0.29725000000000001</v>
      </c>
      <c r="R123" s="91">
        <f>'CZ02 Factors'!H47</f>
        <v>0.14499999999999999</v>
      </c>
      <c r="S123" s="90">
        <f>'CZ02 Factors'!I47</f>
        <v>0.437</v>
      </c>
      <c r="T123" s="91">
        <f>'CZ02 Factors'!J47</f>
        <v>0.81199999999999983</v>
      </c>
      <c r="U123" s="92">
        <f>'CZ02 Factors'!K47</f>
        <v>0.39</v>
      </c>
      <c r="W123" s="129">
        <v>0.8</v>
      </c>
      <c r="X123" s="89">
        <f>'CZ03 Factors'!D47</f>
        <v>0.33599999999999997</v>
      </c>
      <c r="Y123" s="90">
        <f>'CZ03 Factors'!E47</f>
        <v>0.4375</v>
      </c>
      <c r="Z123" s="91">
        <f>'CZ03 Factors'!F47</f>
        <v>0.64900000000000002</v>
      </c>
      <c r="AA123" s="90">
        <f>'CZ03 Factors'!G47</f>
        <v>0.54049999999999998</v>
      </c>
      <c r="AB123" s="91">
        <f>'CZ03 Factors'!H47</f>
        <v>0.32400000000000001</v>
      </c>
      <c r="AC123" s="90">
        <f>'CZ03 Factors'!I47</f>
        <v>0.5</v>
      </c>
      <c r="AD123" s="91">
        <f>'CZ03 Factors'!J47</f>
        <v>0.48</v>
      </c>
      <c r="AE123" s="92">
        <f>'CZ03 Factors'!K47</f>
        <v>0.38499999999999995</v>
      </c>
      <c r="AG123" s="129">
        <v>0.8</v>
      </c>
      <c r="AH123" s="89">
        <f>'CZ04 Factors'!D47</f>
        <v>0.31900000000000001</v>
      </c>
      <c r="AI123" s="90">
        <f>'CZ04 Factors'!E47</f>
        <v>0.36099999999999999</v>
      </c>
      <c r="AJ123" s="91">
        <f>'CZ04 Factors'!F47</f>
        <v>0.504</v>
      </c>
      <c r="AK123" s="90">
        <f>'CZ04 Factors'!G47</f>
        <v>0.31850000000000001</v>
      </c>
      <c r="AL123" s="91">
        <f>'CZ04 Factors'!H47</f>
        <v>0.125</v>
      </c>
      <c r="AM123" s="90">
        <f>'CZ04 Factors'!I47</f>
        <v>0.29249999999999998</v>
      </c>
      <c r="AN123" s="91">
        <f>'CZ04 Factors'!J47</f>
        <v>0.47199999999999998</v>
      </c>
      <c r="AO123" s="92">
        <f>'CZ04 Factors'!K47</f>
        <v>0.34199999999999997</v>
      </c>
      <c r="AQ123" s="129">
        <v>0.8</v>
      </c>
      <c r="AR123" s="89">
        <f>'CZ05 Factors'!D47</f>
        <v>0.24599999999999994</v>
      </c>
      <c r="AS123" s="90">
        <f>'CZ05 Factors'!E47</f>
        <v>0.31449999999999995</v>
      </c>
      <c r="AT123" s="91">
        <f>'CZ05 Factors'!F47</f>
        <v>0.43999999999999995</v>
      </c>
      <c r="AU123" s="90">
        <f>'CZ05 Factors'!G47</f>
        <v>0.25600000000000006</v>
      </c>
      <c r="AV123" s="91">
        <f>'CZ05 Factors'!H47</f>
        <v>0.11200000000000002</v>
      </c>
      <c r="AW123" s="90">
        <f>'CZ05 Factors'!I47</f>
        <v>0.27734999999999999</v>
      </c>
      <c r="AX123" s="91">
        <f>'CZ05 Factors'!J47</f>
        <v>0.46280000000000004</v>
      </c>
      <c r="AY123" s="92">
        <f>'CZ05 Factors'!K47</f>
        <v>0.34199999999999997</v>
      </c>
      <c r="AZ123" s="203"/>
      <c r="BA123" s="129">
        <v>0.8</v>
      </c>
      <c r="BB123" s="89">
        <f>'CZ05 BC Factors'!D47</f>
        <v>0.3</v>
      </c>
      <c r="BC123" s="90">
        <f>'CZ05 BC Factors'!E47</f>
        <v>0.35149999999999998</v>
      </c>
      <c r="BD123" s="91">
        <f>'CZ05 BC Factors'!F47</f>
        <v>0.45</v>
      </c>
      <c r="BE123" s="90">
        <f>'CZ05 BC Factors'!G47</f>
        <v>0.3</v>
      </c>
      <c r="BF123" s="91">
        <f>'CZ05 BC Factors'!H47</f>
        <v>0.16800000000000004</v>
      </c>
      <c r="BG123" s="90">
        <f>'CZ05 BC Factors'!I47</f>
        <v>0.32250000000000001</v>
      </c>
      <c r="BH123" s="91">
        <f>'CZ05 BC Factors'!J47</f>
        <v>0.46800000000000008</v>
      </c>
      <c r="BI123" s="92">
        <f>'CZ05 BC Factors'!K47</f>
        <v>0.38</v>
      </c>
      <c r="BK123" s="129">
        <v>0.8</v>
      </c>
      <c r="BL123" s="89">
        <f>'CZ06 Factors'!D45</f>
        <v>0.27300000000000002</v>
      </c>
      <c r="BM123" s="90">
        <f>'CZ06 Factors'!E45</f>
        <v>0.34125</v>
      </c>
      <c r="BN123" s="91">
        <f>'CZ06 Factors'!F45</f>
        <v>0.45</v>
      </c>
      <c r="BO123" s="90">
        <f>'CZ06 Factors'!G45</f>
        <v>0.24700000000000003</v>
      </c>
      <c r="BP123" s="91">
        <f>'CZ06 Factors'!H45</f>
        <v>0.10400000000000001</v>
      </c>
      <c r="BQ123" s="90">
        <f>'CZ06 Factors'!I45</f>
        <v>0.45749999999999996</v>
      </c>
      <c r="BR123" s="91">
        <f>'CZ06 Factors'!J45</f>
        <v>0.94379999999999997</v>
      </c>
      <c r="BS123" s="92">
        <f>'CZ06 Factors'!K45</f>
        <v>0.49600000000000005</v>
      </c>
      <c r="BU123" s="129">
        <v>0.8</v>
      </c>
      <c r="BV123" s="89">
        <f>'CZ07 Factors'!D47</f>
        <v>0.33600000000000002</v>
      </c>
      <c r="BW123" s="90">
        <f>'CZ07 Factors'!E47</f>
        <v>0.4</v>
      </c>
      <c r="BX123" s="91">
        <f>'CZ07 Factors'!F47</f>
        <v>0.43200000000000005</v>
      </c>
      <c r="BY123" s="90">
        <f>'CZ07 Factors'!G47</f>
        <v>0.35199999999999998</v>
      </c>
      <c r="BZ123" s="91">
        <f>'CZ07 Factors'!H47</f>
        <v>0.22400000000000003</v>
      </c>
      <c r="CA123" s="90">
        <f>'CZ07 Factors'!I47</f>
        <v>0.34849999999999998</v>
      </c>
      <c r="CB123" s="91">
        <f>'CZ07 Factors'!J47</f>
        <v>0.47700000000000004</v>
      </c>
      <c r="CC123" s="92">
        <f>'CZ07 Factors'!K47</f>
        <v>0.42</v>
      </c>
      <c r="CE123" s="129">
        <v>0.8</v>
      </c>
      <c r="CF123" s="89">
        <f>'CZ08 Factors'!D47</f>
        <v>0.246</v>
      </c>
      <c r="CG123" s="90">
        <f>'CZ08 Factors'!E47</f>
        <v>0.35520000000000002</v>
      </c>
      <c r="CH123" s="91">
        <f>'CZ08 Factors'!F47</f>
        <v>0.55000000000000004</v>
      </c>
      <c r="CI123" s="90">
        <f>'CZ08 Factors'!G47</f>
        <v>0.3075</v>
      </c>
      <c r="CJ123" s="91">
        <f>'CZ08 Factors'!H47</f>
        <v>0.11599999999999999</v>
      </c>
      <c r="CK123" s="90">
        <f>'CZ08 Factors'!I47</f>
        <v>0.29885</v>
      </c>
      <c r="CL123" s="91">
        <f>'CZ08 Factors'!J47</f>
        <v>0.52470000000000006</v>
      </c>
      <c r="CM123" s="92">
        <f>'CZ08 Factors'!K47</f>
        <v>0.36200000000000004</v>
      </c>
    </row>
    <row r="124" spans="1:91" ht="13" x14ac:dyDescent="0.3">
      <c r="A124" s="24"/>
      <c r="B124" s="66">
        <f t="shared" si="14"/>
        <v>2100</v>
      </c>
      <c r="C124" s="64">
        <v>1</v>
      </c>
      <c r="D124" s="43">
        <f>'CZ01 Factors'!D30</f>
        <v>0.22229999999999997</v>
      </c>
      <c r="E124" s="53">
        <f>'CZ01 Factors'!E30</f>
        <v>0.2964</v>
      </c>
      <c r="F124" s="48">
        <f>'CZ01 Factors'!F30</f>
        <v>0.49950000000000006</v>
      </c>
      <c r="G124" s="53">
        <f>'CZ01 Factors'!G30</f>
        <v>0.39359999999999995</v>
      </c>
      <c r="H124" s="48">
        <f>'CZ01 Factors'!H30</f>
        <v>0.20249999999999999</v>
      </c>
      <c r="I124" s="53">
        <f>'CZ01 Factors'!I30</f>
        <v>0.38915000000000005</v>
      </c>
      <c r="J124" s="48">
        <f>'CZ01 Factors'!J30</f>
        <v>0.48</v>
      </c>
      <c r="K124" s="55">
        <f>'CZ01 Factors'!K30</f>
        <v>0.30380000000000001</v>
      </c>
      <c r="M124" s="58">
        <v>1</v>
      </c>
      <c r="N124" s="43">
        <f>'CZ02 Factors'!D48</f>
        <v>0.15600000000000003</v>
      </c>
      <c r="O124" s="53">
        <f>'CZ02 Factors'!E48</f>
        <v>0.23249999999999998</v>
      </c>
      <c r="P124" s="48">
        <f>'CZ02 Factors'!F48</f>
        <v>0.40850000000000003</v>
      </c>
      <c r="Q124" s="53">
        <f>'CZ02 Factors'!G48</f>
        <v>0.25374999999999998</v>
      </c>
      <c r="R124" s="48">
        <f>'CZ02 Factors'!H48</f>
        <v>0.12</v>
      </c>
      <c r="S124" s="53">
        <f>'CZ02 Factors'!I48</f>
        <v>0.38</v>
      </c>
      <c r="T124" s="48">
        <f>'CZ02 Factors'!J48</f>
        <v>0.65799999999999992</v>
      </c>
      <c r="U124" s="55">
        <f>'CZ02 Factors'!K48</f>
        <v>0.32</v>
      </c>
      <c r="W124" s="58">
        <v>1</v>
      </c>
      <c r="X124" s="43">
        <f>'CZ03 Factors'!D48</f>
        <v>0.28000000000000003</v>
      </c>
      <c r="Y124" s="53">
        <f>'CZ03 Factors'!E48</f>
        <v>0.36249999999999993</v>
      </c>
      <c r="Z124" s="48">
        <f>'CZ03 Factors'!F48</f>
        <v>0.55000000000000004</v>
      </c>
      <c r="AA124" s="53">
        <f>'CZ03 Factors'!G48</f>
        <v>0.46000000000000008</v>
      </c>
      <c r="AB124" s="48">
        <f>'CZ03 Factors'!H48</f>
        <v>0.28799999999999998</v>
      </c>
      <c r="AC124" s="53">
        <f>'CZ03 Factors'!I48</f>
        <v>0.43</v>
      </c>
      <c r="AD124" s="48">
        <f>'CZ03 Factors'!J48</f>
        <v>0.42400000000000004</v>
      </c>
      <c r="AE124" s="55">
        <f>'CZ03 Factors'!K48</f>
        <v>0.31899999999999995</v>
      </c>
      <c r="AG124" s="58">
        <v>1</v>
      </c>
      <c r="AH124" s="43">
        <f>'CZ04 Factors'!D48</f>
        <v>0.28600000000000003</v>
      </c>
      <c r="AI124" s="53">
        <f>'CZ04 Factors'!E48</f>
        <v>0.29449999999999998</v>
      </c>
      <c r="AJ124" s="48">
        <f>'CZ04 Factors'!F48</f>
        <v>0.44</v>
      </c>
      <c r="AK124" s="53">
        <f>'CZ04 Factors'!G48</f>
        <v>0.27300000000000002</v>
      </c>
      <c r="AL124" s="48">
        <f>'CZ04 Factors'!H48</f>
        <v>0.11</v>
      </c>
      <c r="AM124" s="53">
        <f>'CZ04 Factors'!I48</f>
        <v>0.2535</v>
      </c>
      <c r="AN124" s="48">
        <f>'CZ04 Factors'!J48</f>
        <v>0.40799999999999997</v>
      </c>
      <c r="AO124" s="55">
        <f>'CZ04 Factors'!K48</f>
        <v>0.28500000000000003</v>
      </c>
      <c r="AQ124" s="58">
        <v>1</v>
      </c>
      <c r="AR124" s="43">
        <f>'CZ05 Factors'!D48</f>
        <v>0.21319999999999997</v>
      </c>
      <c r="AS124" s="53">
        <f>'CZ05 Factors'!E48</f>
        <v>0.26349999999999996</v>
      </c>
      <c r="AT124" s="48">
        <f>'CZ05 Factors'!F48</f>
        <v>0.36959999999999998</v>
      </c>
      <c r="AU124" s="53">
        <f>'CZ05 Factors'!G48</f>
        <v>0.21760000000000004</v>
      </c>
      <c r="AV124" s="48">
        <f>'CZ05 Factors'!H48</f>
        <v>0.1</v>
      </c>
      <c r="AW124" s="53">
        <f>'CZ05 Factors'!I48</f>
        <v>0.23865</v>
      </c>
      <c r="AX124" s="48">
        <f>'CZ05 Factors'!J48</f>
        <v>0.40940000000000004</v>
      </c>
      <c r="AY124" s="55">
        <f>'CZ05 Factors'!K48</f>
        <v>0.26505000000000001</v>
      </c>
      <c r="AZ124" s="202"/>
      <c r="BA124" s="58">
        <v>1</v>
      </c>
      <c r="BB124" s="43">
        <f>'CZ05 BC Factors'!D48</f>
        <v>0.26</v>
      </c>
      <c r="BC124" s="53">
        <f>'CZ05 BC Factors'!E48</f>
        <v>0.29449999999999998</v>
      </c>
      <c r="BD124" s="48">
        <f>'CZ05 BC Factors'!F48</f>
        <v>0.378</v>
      </c>
      <c r="BE124" s="53">
        <f>'CZ05 BC Factors'!G48</f>
        <v>0.255</v>
      </c>
      <c r="BF124" s="48">
        <f>'CZ05 BC Factors'!H48</f>
        <v>0.15</v>
      </c>
      <c r="BG124" s="53">
        <f>'CZ05 BC Factors'!I48</f>
        <v>0.27749999999999997</v>
      </c>
      <c r="BH124" s="48">
        <f>'CZ05 BC Factors'!J48</f>
        <v>0.41400000000000009</v>
      </c>
      <c r="BI124" s="55">
        <f>'CZ05 BC Factors'!K48</f>
        <v>0.29449999999999998</v>
      </c>
      <c r="BK124" s="58">
        <v>1</v>
      </c>
      <c r="BL124" s="43">
        <f>'CZ06 Factors'!D46</f>
        <v>0.23100000000000001</v>
      </c>
      <c r="BM124" s="53">
        <f>'CZ06 Factors'!E46</f>
        <v>0.28275</v>
      </c>
      <c r="BN124" s="48">
        <f>'CZ06 Factors'!F46</f>
        <v>0.37799999999999995</v>
      </c>
      <c r="BO124" s="53">
        <f>'CZ06 Factors'!G46</f>
        <v>0.20799999999999999</v>
      </c>
      <c r="BP124" s="48">
        <f>'CZ06 Factors'!H46</f>
        <v>9.1999999999999998E-2</v>
      </c>
      <c r="BQ124" s="53">
        <f>'CZ06 Factors'!I46</f>
        <v>0.38429999999999997</v>
      </c>
      <c r="BR124" s="48">
        <f>'CZ06 Factors'!J46</f>
        <v>0.80080000000000007</v>
      </c>
      <c r="BS124" s="55">
        <f>'CZ06 Factors'!K46</f>
        <v>0.44639999999999991</v>
      </c>
      <c r="BU124" s="58">
        <v>1</v>
      </c>
      <c r="BV124" s="43">
        <f>'CZ07 Factors'!D48</f>
        <v>0.3</v>
      </c>
      <c r="BW124" s="53">
        <f>'CZ07 Factors'!E48</f>
        <v>0.33</v>
      </c>
      <c r="BX124" s="48">
        <f>'CZ07 Factors'!F48</f>
        <v>0.38400000000000001</v>
      </c>
      <c r="BY124" s="53">
        <f>'CZ07 Factors'!G48</f>
        <v>0.29599999999999999</v>
      </c>
      <c r="BZ124" s="48">
        <f>'CZ07 Factors'!H48</f>
        <v>0.2</v>
      </c>
      <c r="CA124" s="53">
        <f>'CZ07 Factors'!I48</f>
        <v>0.29749999999999999</v>
      </c>
      <c r="CB124" s="48">
        <f>'CZ07 Factors'!J48</f>
        <v>0.39600000000000002</v>
      </c>
      <c r="CC124" s="55">
        <f>'CZ07 Factors'!K48</f>
        <v>0.33599999999999997</v>
      </c>
      <c r="CE124" s="58">
        <v>1</v>
      </c>
      <c r="CF124" s="43">
        <f>'CZ08 Factors'!D48</f>
        <v>0.20499999999999999</v>
      </c>
      <c r="CG124" s="53">
        <f>'CZ08 Factors'!E48</f>
        <v>0.28800000000000003</v>
      </c>
      <c r="CH124" s="48">
        <f>'CZ08 Factors'!F48</f>
        <v>0.46199999999999997</v>
      </c>
      <c r="CI124" s="53">
        <f>'CZ08 Factors'!G48</f>
        <v>0.26249999999999996</v>
      </c>
      <c r="CJ124" s="48">
        <f>'CZ08 Factors'!H48</f>
        <v>0.1</v>
      </c>
      <c r="CK124" s="53">
        <f>'CZ08 Factors'!I48</f>
        <v>0.25715000000000005</v>
      </c>
      <c r="CL124" s="48">
        <f>'CZ08 Factors'!J48</f>
        <v>0.46529999999999999</v>
      </c>
      <c r="CM124" s="55">
        <f>'CZ08 Factors'!K48</f>
        <v>0.29865000000000003</v>
      </c>
    </row>
    <row r="125" spans="1:91" x14ac:dyDescent="0.25">
      <c r="A125" s="24"/>
      <c r="B125" s="66">
        <f t="shared" si="14"/>
        <v>2520</v>
      </c>
      <c r="C125" s="128">
        <v>1.2</v>
      </c>
      <c r="D125" s="89">
        <f>'CZ01 Factors'!D31</f>
        <v>0.21059999999999998</v>
      </c>
      <c r="E125" s="90">
        <f>'CZ01 Factors'!E31</f>
        <v>0.26219999999999999</v>
      </c>
      <c r="F125" s="91">
        <f>'CZ01 Factors'!F31</f>
        <v>0.41070000000000007</v>
      </c>
      <c r="G125" s="90">
        <f>'CZ01 Factors'!G31</f>
        <v>0.31680000000000003</v>
      </c>
      <c r="H125" s="91">
        <f>'CZ01 Factors'!H31</f>
        <v>0.17820000000000003</v>
      </c>
      <c r="I125" s="90">
        <f>'CZ01 Factors'!I31</f>
        <v>0.35295000000000004</v>
      </c>
      <c r="J125" s="91">
        <f>'CZ01 Factors'!J31</f>
        <v>0.42000000000000004</v>
      </c>
      <c r="K125" s="92">
        <f>'CZ01 Factors'!K31</f>
        <v>0.28210000000000002</v>
      </c>
      <c r="M125" s="129">
        <v>1.2</v>
      </c>
      <c r="N125" s="89">
        <f>'CZ02 Factors'!D49</f>
        <v>0.13800000000000001</v>
      </c>
      <c r="O125" s="90">
        <f>'CZ02 Factors'!E49</f>
        <v>0.20925000000000002</v>
      </c>
      <c r="P125" s="91">
        <f>'CZ02 Factors'!F49</f>
        <v>0.33250000000000002</v>
      </c>
      <c r="Q125" s="90">
        <f>'CZ02 Factors'!G49</f>
        <v>0.21749999999999997</v>
      </c>
      <c r="R125" s="91">
        <f>'CZ02 Factors'!H49</f>
        <v>0.11</v>
      </c>
      <c r="S125" s="90">
        <f>'CZ02 Factors'!I49</f>
        <v>0.32300000000000001</v>
      </c>
      <c r="T125" s="91">
        <f>'CZ02 Factors'!J49</f>
        <v>0.57399999999999984</v>
      </c>
      <c r="U125" s="92">
        <f>'CZ02 Factors'!K49</f>
        <v>0.28000000000000003</v>
      </c>
      <c r="W125" s="129">
        <v>1.2</v>
      </c>
      <c r="X125" s="89">
        <f>'CZ03 Factors'!D49</f>
        <v>0.26599999999999996</v>
      </c>
      <c r="Y125" s="90">
        <f>'CZ03 Factors'!E49</f>
        <v>0.32500000000000001</v>
      </c>
      <c r="Z125" s="91">
        <f>'CZ03 Factors'!F49</f>
        <v>0.46200000000000002</v>
      </c>
      <c r="AA125" s="90">
        <f>'CZ03 Factors'!G49</f>
        <v>0.39100000000000001</v>
      </c>
      <c r="AB125" s="91">
        <f>'CZ03 Factors'!H49</f>
        <v>0.252</v>
      </c>
      <c r="AC125" s="90">
        <f>'CZ03 Factors'!I49</f>
        <v>0.37</v>
      </c>
      <c r="AD125" s="91">
        <f>'CZ03 Factors'!J49</f>
        <v>0.34400000000000003</v>
      </c>
      <c r="AE125" s="92">
        <f>'CZ03 Factors'!K49</f>
        <v>0.28599999999999998</v>
      </c>
      <c r="AG125" s="129">
        <v>1.2</v>
      </c>
      <c r="AH125" s="89">
        <f>'CZ04 Factors'!D49</f>
        <v>0.25300000000000006</v>
      </c>
      <c r="AI125" s="90">
        <f>'CZ04 Factors'!E49</f>
        <v>0.247</v>
      </c>
      <c r="AJ125" s="91">
        <f>'CZ04 Factors'!F49</f>
        <v>0.36800000000000005</v>
      </c>
      <c r="AK125" s="90">
        <f>'CZ04 Factors'!G49</f>
        <v>0.24050000000000002</v>
      </c>
      <c r="AL125" s="91">
        <f>'CZ04 Factors'!H49</f>
        <v>0.1</v>
      </c>
      <c r="AM125" s="90">
        <f>'CZ04 Factors'!I49</f>
        <v>0.22749999999999998</v>
      </c>
      <c r="AN125" s="91">
        <f>'CZ04 Factors'!J49</f>
        <v>0.36000000000000004</v>
      </c>
      <c r="AO125" s="92">
        <f>'CZ04 Factors'!K49</f>
        <v>0.23749999999999999</v>
      </c>
      <c r="AQ125" s="129">
        <v>1.2</v>
      </c>
      <c r="AR125" s="89">
        <f>'CZ05 Factors'!D49</f>
        <v>0.19679999999999995</v>
      </c>
      <c r="AS125" s="90">
        <f>'CZ05 Factors'!E49</f>
        <v>0.22099999999999995</v>
      </c>
      <c r="AT125" s="91">
        <f>'CZ05 Factors'!F49</f>
        <v>0.31679999999999997</v>
      </c>
      <c r="AU125" s="90">
        <f>'CZ05 Factors'!G49</f>
        <v>0.192</v>
      </c>
      <c r="AV125" s="91">
        <f>'CZ05 Factors'!H49</f>
        <v>8.7999999999999995E-2</v>
      </c>
      <c r="AW125" s="90">
        <f>'CZ05 Factors'!I49</f>
        <v>0.21285000000000001</v>
      </c>
      <c r="AX125" s="91">
        <f>'CZ05 Factors'!J49</f>
        <v>0.35600000000000004</v>
      </c>
      <c r="AY125" s="92">
        <f>'CZ05 Factors'!K49</f>
        <v>0.23085</v>
      </c>
      <c r="AZ125" s="203"/>
      <c r="BA125" s="129">
        <v>1.2</v>
      </c>
      <c r="BB125" s="89">
        <f>'CZ05 BC Factors'!D49</f>
        <v>0.23999999999999996</v>
      </c>
      <c r="BC125" s="90">
        <f>'CZ05 BC Factors'!E49</f>
        <v>0.247</v>
      </c>
      <c r="BD125" s="91">
        <f>'CZ05 BC Factors'!F49</f>
        <v>0.32399999999999995</v>
      </c>
      <c r="BE125" s="90">
        <f>'CZ05 BC Factors'!G49</f>
        <v>0.22499999999999998</v>
      </c>
      <c r="BF125" s="91">
        <f>'CZ05 BC Factors'!H49</f>
        <v>0.13200000000000001</v>
      </c>
      <c r="BG125" s="90">
        <f>'CZ05 BC Factors'!I49</f>
        <v>0.2475</v>
      </c>
      <c r="BH125" s="91">
        <f>'CZ05 BC Factors'!J49</f>
        <v>0.36000000000000004</v>
      </c>
      <c r="BI125" s="92">
        <f>'CZ05 BC Factors'!K49</f>
        <v>0.25650000000000001</v>
      </c>
      <c r="BK125" s="129">
        <v>1.2</v>
      </c>
      <c r="BL125" s="89">
        <f>'CZ06 Factors'!D47</f>
        <v>0.21000000000000002</v>
      </c>
      <c r="BM125" s="90">
        <f>'CZ06 Factors'!E47</f>
        <v>0.23400000000000001</v>
      </c>
      <c r="BN125" s="91">
        <f>'CZ06 Factors'!F47</f>
        <v>0.33300000000000002</v>
      </c>
      <c r="BO125" s="90">
        <f>'CZ06 Factors'!G47</f>
        <v>0.1885</v>
      </c>
      <c r="BP125" s="91">
        <f>'CZ06 Factors'!H47</f>
        <v>9.1999999999999998E-2</v>
      </c>
      <c r="BQ125" s="90">
        <f>'CZ06 Factors'!I47</f>
        <v>0.35685</v>
      </c>
      <c r="BR125" s="91">
        <f>'CZ06 Factors'!J47</f>
        <v>0.6863999999999999</v>
      </c>
      <c r="BS125" s="92">
        <f>'CZ06 Factors'!K47</f>
        <v>0.35959999999999992</v>
      </c>
      <c r="BU125" s="129">
        <v>1.2</v>
      </c>
      <c r="BV125" s="89">
        <f>'CZ07 Factors'!D49</f>
        <v>0.26400000000000001</v>
      </c>
      <c r="BW125" s="90">
        <f>'CZ07 Factors'!E49</f>
        <v>0.28000000000000003</v>
      </c>
      <c r="BX125" s="91">
        <f>'CZ07 Factors'!F49</f>
        <v>0.32799999999999996</v>
      </c>
      <c r="BY125" s="90">
        <f>'CZ07 Factors'!G49</f>
        <v>0.27199999999999996</v>
      </c>
      <c r="BZ125" s="91">
        <f>'CZ07 Factors'!H49</f>
        <v>0.184</v>
      </c>
      <c r="CA125" s="90">
        <f>'CZ07 Factors'!I49</f>
        <v>0.26350000000000001</v>
      </c>
      <c r="CB125" s="91">
        <f>'CZ07 Factors'!J49</f>
        <v>0.34200000000000003</v>
      </c>
      <c r="CC125" s="92">
        <f>'CZ07 Factors'!K49</f>
        <v>0.28350000000000003</v>
      </c>
      <c r="CE125" s="129">
        <v>1.2</v>
      </c>
      <c r="CF125" s="89">
        <f>'CZ08 Factors'!D49</f>
        <v>0.18860000000000002</v>
      </c>
      <c r="CG125" s="90">
        <f>'CZ08 Factors'!E49</f>
        <v>0.26880000000000004</v>
      </c>
      <c r="CH125" s="91">
        <f>'CZ08 Factors'!F49</f>
        <v>0.40700000000000003</v>
      </c>
      <c r="CI125" s="90">
        <f>'CZ08 Factors'!G49</f>
        <v>0.23250000000000001</v>
      </c>
      <c r="CJ125" s="91">
        <f>'CZ08 Factors'!H49</f>
        <v>9.1999999999999998E-2</v>
      </c>
      <c r="CK125" s="90">
        <f>'CZ08 Factors'!I49</f>
        <v>0.22935000000000003</v>
      </c>
      <c r="CL125" s="91">
        <f>'CZ08 Factors'!J49</f>
        <v>0.38610000000000005</v>
      </c>
      <c r="CM125" s="92">
        <f>'CZ08 Factors'!K49</f>
        <v>0.23530000000000004</v>
      </c>
    </row>
    <row r="126" spans="1:91" x14ac:dyDescent="0.25">
      <c r="A126" s="24"/>
      <c r="B126" s="66">
        <f t="shared" si="14"/>
        <v>2940</v>
      </c>
      <c r="C126" s="128">
        <v>1.4</v>
      </c>
      <c r="D126" s="89">
        <f>'CZ01 Factors'!D32</f>
        <v>0.19889999999999999</v>
      </c>
      <c r="E126" s="90">
        <f>'CZ01 Factors'!E32</f>
        <v>0.23939999999999997</v>
      </c>
      <c r="F126" s="91">
        <f>'CZ01 Factors'!F32</f>
        <v>0.35520000000000002</v>
      </c>
      <c r="G126" s="90">
        <f>'CZ01 Factors'!G32</f>
        <v>0.28799999999999998</v>
      </c>
      <c r="H126" s="91">
        <f>'CZ01 Factors'!H32</f>
        <v>0.17820000000000003</v>
      </c>
      <c r="I126" s="90">
        <f>'CZ01 Factors'!I32</f>
        <v>0.28960000000000002</v>
      </c>
      <c r="J126" s="91">
        <f>'CZ01 Factors'!J32</f>
        <v>0.37</v>
      </c>
      <c r="K126" s="92">
        <f>'CZ01 Factors'!K32</f>
        <v>0.2387</v>
      </c>
      <c r="M126" s="129">
        <v>1.4</v>
      </c>
      <c r="N126" s="89">
        <f>'CZ02 Factors'!D50</f>
        <v>0.126</v>
      </c>
      <c r="O126" s="90">
        <f>'CZ02 Factors'!E50</f>
        <v>0.186</v>
      </c>
      <c r="P126" s="91">
        <f>'CZ02 Factors'!F50</f>
        <v>0.30400000000000005</v>
      </c>
      <c r="Q126" s="90">
        <f>'CZ02 Factors'!G50</f>
        <v>0.20300000000000004</v>
      </c>
      <c r="R126" s="91">
        <f>'CZ02 Factors'!H50</f>
        <v>0.105</v>
      </c>
      <c r="S126" s="90">
        <f>'CZ02 Factors'!I50</f>
        <v>0.28500000000000003</v>
      </c>
      <c r="T126" s="91">
        <f>'CZ02 Factors'!J50</f>
        <v>0.504</v>
      </c>
      <c r="U126" s="92">
        <f>'CZ02 Factors'!K50</f>
        <v>0.24</v>
      </c>
      <c r="W126" s="129">
        <v>1.4</v>
      </c>
      <c r="X126" s="89">
        <f>'CZ03 Factors'!D50</f>
        <v>0.23799999999999999</v>
      </c>
      <c r="Y126" s="90">
        <f>'CZ03 Factors'!E50</f>
        <v>0.27500000000000002</v>
      </c>
      <c r="Z126" s="91">
        <f>'CZ03 Factors'!F50</f>
        <v>0.38500000000000001</v>
      </c>
      <c r="AA126" s="90">
        <f>'CZ03 Factors'!G50</f>
        <v>0.35650000000000004</v>
      </c>
      <c r="AB126" s="91">
        <f>'CZ03 Factors'!H50</f>
        <v>0.24000000000000002</v>
      </c>
      <c r="AC126" s="90">
        <f>'CZ03 Factors'!I50</f>
        <v>0.32000000000000006</v>
      </c>
      <c r="AD126" s="91">
        <f>'CZ03 Factors'!J50</f>
        <v>0.32800000000000001</v>
      </c>
      <c r="AE126" s="92">
        <f>'CZ03 Factors'!K50</f>
        <v>0.253</v>
      </c>
      <c r="AG126" s="129">
        <v>1.4</v>
      </c>
      <c r="AH126" s="89">
        <f>'CZ04 Factors'!D50</f>
        <v>0.23100000000000004</v>
      </c>
      <c r="AI126" s="90">
        <f>'CZ04 Factors'!E50</f>
        <v>0.21849999999999997</v>
      </c>
      <c r="AJ126" s="91">
        <f>'CZ04 Factors'!F50</f>
        <v>0.312</v>
      </c>
      <c r="AK126" s="90">
        <f>'CZ04 Factors'!G50</f>
        <v>0.22100000000000006</v>
      </c>
      <c r="AL126" s="91">
        <f>'CZ04 Factors'!H50</f>
        <v>8.5000000000000006E-2</v>
      </c>
      <c r="AM126" s="90">
        <f>'CZ04 Factors'!I50</f>
        <v>0.21450000000000002</v>
      </c>
      <c r="AN126" s="91">
        <f>'CZ04 Factors'!J50</f>
        <v>0.30399999999999999</v>
      </c>
      <c r="AO126" s="92">
        <f>'CZ04 Factors'!K50</f>
        <v>0.19949999999999998</v>
      </c>
      <c r="AQ126" s="129">
        <v>1.4</v>
      </c>
      <c r="AR126" s="89">
        <f>'CZ05 Factors'!D50</f>
        <v>0.17219999999999996</v>
      </c>
      <c r="AS126" s="90">
        <f>'CZ05 Factors'!E50</f>
        <v>0.19549999999999995</v>
      </c>
      <c r="AT126" s="91">
        <f>'CZ05 Factors'!F50</f>
        <v>0.28160000000000002</v>
      </c>
      <c r="AU126" s="90">
        <f>'CZ05 Factors'!G50</f>
        <v>0.17280000000000004</v>
      </c>
      <c r="AV126" s="91">
        <f>'CZ05 Factors'!H50</f>
        <v>0.08</v>
      </c>
      <c r="AW126" s="90">
        <f>'CZ05 Factors'!I50</f>
        <v>0.18704999999999999</v>
      </c>
      <c r="AX126" s="91">
        <f>'CZ05 Factors'!J50</f>
        <v>0.30260000000000004</v>
      </c>
      <c r="AY126" s="92">
        <f>'CZ05 Factors'!K50</f>
        <v>0.20519999999999997</v>
      </c>
      <c r="AZ126" s="203"/>
      <c r="BA126" s="129">
        <v>1.4</v>
      </c>
      <c r="BB126" s="89">
        <f>'CZ05 BC Factors'!D50</f>
        <v>0.21</v>
      </c>
      <c r="BC126" s="90">
        <f>'CZ05 BC Factors'!E50</f>
        <v>0.2185</v>
      </c>
      <c r="BD126" s="91">
        <f>'CZ05 BC Factors'!F50</f>
        <v>0.28800000000000003</v>
      </c>
      <c r="BE126" s="90">
        <f>'CZ05 BC Factors'!G50</f>
        <v>0.20250000000000004</v>
      </c>
      <c r="BF126" s="91">
        <f>'CZ05 BC Factors'!H50</f>
        <v>0.12000000000000001</v>
      </c>
      <c r="BG126" s="90">
        <f>'CZ05 BC Factors'!I50</f>
        <v>0.21749999999999997</v>
      </c>
      <c r="BH126" s="91">
        <f>'CZ05 BC Factors'!J50</f>
        <v>0.30600000000000005</v>
      </c>
      <c r="BI126" s="92">
        <f>'CZ05 BC Factors'!K50</f>
        <v>0.22799999999999998</v>
      </c>
      <c r="BK126" s="129">
        <v>1.4</v>
      </c>
      <c r="BL126" s="89">
        <f>'CZ06 Factors'!D48</f>
        <v>0.189</v>
      </c>
      <c r="BM126" s="90">
        <f>'CZ06 Factors'!E48</f>
        <v>0.21450000000000002</v>
      </c>
      <c r="BN126" s="91">
        <f>'CZ06 Factors'!F48</f>
        <v>0.28799999999999998</v>
      </c>
      <c r="BO126" s="90">
        <f>'CZ06 Factors'!G48</f>
        <v>0.16900000000000001</v>
      </c>
      <c r="BP126" s="91">
        <f>'CZ06 Factors'!H48</f>
        <v>7.5999999999999998E-2</v>
      </c>
      <c r="BQ126" s="90">
        <f>'CZ06 Factors'!I48</f>
        <v>0.31109999999999999</v>
      </c>
      <c r="BR126" s="91">
        <f>'CZ06 Factors'!J48</f>
        <v>0.60059999999999991</v>
      </c>
      <c r="BS126" s="92">
        <f>'CZ06 Factors'!K48</f>
        <v>0.32239999999999996</v>
      </c>
      <c r="BU126" s="129">
        <v>1.4</v>
      </c>
      <c r="BV126" s="89">
        <f>'CZ07 Factors'!D50</f>
        <v>0.22800000000000001</v>
      </c>
      <c r="BW126" s="90">
        <f>'CZ07 Factors'!E50</f>
        <v>0.23</v>
      </c>
      <c r="BX126" s="91">
        <f>'CZ07 Factors'!F50</f>
        <v>0.28799999999999998</v>
      </c>
      <c r="BY126" s="90">
        <f>'CZ07 Factors'!G50</f>
        <v>0.24</v>
      </c>
      <c r="BZ126" s="91">
        <f>'CZ07 Factors'!H50</f>
        <v>0.16800000000000001</v>
      </c>
      <c r="CA126" s="90">
        <f>'CZ07 Factors'!I50</f>
        <v>0.23800000000000004</v>
      </c>
      <c r="CB126" s="91">
        <f>'CZ07 Factors'!J50</f>
        <v>0.29699999999999999</v>
      </c>
      <c r="CC126" s="92">
        <f>'CZ07 Factors'!K50</f>
        <v>0.252</v>
      </c>
      <c r="CE126" s="129">
        <v>1.4</v>
      </c>
      <c r="CF126" s="89">
        <f>'CZ08 Factors'!D50</f>
        <v>0.17219999999999999</v>
      </c>
      <c r="CG126" s="90">
        <f>'CZ08 Factors'!E50</f>
        <v>0.22080000000000002</v>
      </c>
      <c r="CH126" s="91">
        <f>'CZ08 Factors'!F50</f>
        <v>0.35200000000000004</v>
      </c>
      <c r="CI126" s="90">
        <f>'CZ08 Factors'!G50</f>
        <v>0.21749999999999997</v>
      </c>
      <c r="CJ126" s="91">
        <f>'CZ08 Factors'!H50</f>
        <v>0.08</v>
      </c>
      <c r="CK126" s="90">
        <f>'CZ08 Factors'!I50</f>
        <v>0.20155000000000001</v>
      </c>
      <c r="CL126" s="91">
        <f>'CZ08 Factors'!J50</f>
        <v>0.33660000000000007</v>
      </c>
      <c r="CM126" s="92">
        <f>'CZ08 Factors'!K50</f>
        <v>0.2172</v>
      </c>
    </row>
    <row r="127" spans="1:91" x14ac:dyDescent="0.25">
      <c r="A127" s="24"/>
      <c r="B127" s="66">
        <f t="shared" si="14"/>
        <v>3360</v>
      </c>
      <c r="C127" s="128">
        <v>1.6</v>
      </c>
      <c r="D127" s="89">
        <f>'CZ01 Factors'!D33</f>
        <v>0.17549999999999996</v>
      </c>
      <c r="E127" s="90">
        <f>'CZ01 Factors'!E33</f>
        <v>0.20519999999999997</v>
      </c>
      <c r="F127" s="91">
        <f>'CZ01 Factors'!F33</f>
        <v>0.31080000000000008</v>
      </c>
      <c r="G127" s="90">
        <f>'CZ01 Factors'!G33</f>
        <v>0.24959999999999999</v>
      </c>
      <c r="H127" s="91">
        <f>'CZ01 Factors'!H33</f>
        <v>0.14579999999999999</v>
      </c>
      <c r="I127" s="90">
        <f>'CZ01 Factors'!I33</f>
        <v>0.26245000000000002</v>
      </c>
      <c r="J127" s="91">
        <f>'CZ01 Factors'!J33</f>
        <v>0.34</v>
      </c>
      <c r="K127" s="92">
        <f>'CZ01 Factors'!K33</f>
        <v>0.22785</v>
      </c>
      <c r="M127" s="129">
        <v>1.6</v>
      </c>
      <c r="N127" s="89">
        <f>'CZ02 Factors'!D51</f>
        <v>0.114</v>
      </c>
      <c r="O127" s="90">
        <f>'CZ02 Factors'!E51</f>
        <v>0.17824999999999999</v>
      </c>
      <c r="P127" s="91">
        <f>'CZ02 Factors'!F51</f>
        <v>0.26600000000000007</v>
      </c>
      <c r="Q127" s="90">
        <f>'CZ02 Factors'!G51</f>
        <v>0.18124999999999999</v>
      </c>
      <c r="R127" s="91">
        <f>'CZ02 Factors'!H51</f>
        <v>9.5000000000000001E-2</v>
      </c>
      <c r="S127" s="90">
        <f>'CZ02 Factors'!I51</f>
        <v>0.25650000000000001</v>
      </c>
      <c r="T127" s="91">
        <f>'CZ02 Factors'!J51</f>
        <v>0.43399999999999994</v>
      </c>
      <c r="U127" s="92">
        <f>'CZ02 Factors'!K51</f>
        <v>0.22</v>
      </c>
      <c r="W127" s="129">
        <v>1.6</v>
      </c>
      <c r="X127" s="89">
        <f>'CZ03 Factors'!D51</f>
        <v>0.23799999999999999</v>
      </c>
      <c r="Y127" s="90">
        <f>'CZ03 Factors'!E51</f>
        <v>0.25</v>
      </c>
      <c r="Z127" s="91">
        <f>'CZ03 Factors'!F51</f>
        <v>0.36300000000000004</v>
      </c>
      <c r="AA127" s="90">
        <f>'CZ03 Factors'!G51</f>
        <v>0.31050000000000005</v>
      </c>
      <c r="AB127" s="91">
        <f>'CZ03 Factors'!H51</f>
        <v>0.192</v>
      </c>
      <c r="AC127" s="90">
        <f>'CZ03 Factors'!I51</f>
        <v>0.31</v>
      </c>
      <c r="AD127" s="91">
        <f>'CZ03 Factors'!J51</f>
        <v>0.27999999999999997</v>
      </c>
      <c r="AE127" s="92">
        <f>'CZ03 Factors'!K51</f>
        <v>0.23099999999999998</v>
      </c>
      <c r="AG127" s="129">
        <v>1.6</v>
      </c>
      <c r="AH127" s="89">
        <f>'CZ04 Factors'!D51</f>
        <v>0.20900000000000002</v>
      </c>
      <c r="AI127" s="90">
        <f>'CZ04 Factors'!E51</f>
        <v>0.18999999999999997</v>
      </c>
      <c r="AJ127" s="91">
        <f>'CZ04 Factors'!F51</f>
        <v>0.30399999999999999</v>
      </c>
      <c r="AK127" s="90">
        <f>'CZ04 Factors'!G51</f>
        <v>0.19500000000000001</v>
      </c>
      <c r="AL127" s="91">
        <f>'CZ04 Factors'!H51</f>
        <v>0.08</v>
      </c>
      <c r="AM127" s="90">
        <f>'CZ04 Factors'!I51</f>
        <v>0.1885</v>
      </c>
      <c r="AN127" s="91">
        <f>'CZ04 Factors'!J51</f>
        <v>0.26400000000000001</v>
      </c>
      <c r="AO127" s="92">
        <f>'CZ04 Factors'!K51</f>
        <v>0.19</v>
      </c>
      <c r="AQ127" s="129">
        <v>1.6</v>
      </c>
      <c r="AR127" s="89">
        <f>'CZ05 Factors'!D51</f>
        <v>0.16399999999999998</v>
      </c>
      <c r="AS127" s="90">
        <f>'CZ05 Factors'!E51</f>
        <v>0.18699999999999997</v>
      </c>
      <c r="AT127" s="91">
        <f>'CZ05 Factors'!F51</f>
        <v>0.25519999999999998</v>
      </c>
      <c r="AU127" s="90">
        <f>'CZ05 Factors'!G51</f>
        <v>0.14720000000000003</v>
      </c>
      <c r="AV127" s="91">
        <f>'CZ05 Factors'!H51</f>
        <v>7.1999999999999995E-2</v>
      </c>
      <c r="AW127" s="90">
        <f>'CZ05 Factors'!I51</f>
        <v>0.17415000000000003</v>
      </c>
      <c r="AX127" s="91">
        <f>'CZ05 Factors'!J51</f>
        <v>0.26700000000000002</v>
      </c>
      <c r="AY127" s="92">
        <f>'CZ05 Factors'!K51</f>
        <v>0.17954999999999999</v>
      </c>
      <c r="AZ127" s="203"/>
      <c r="BA127" s="129">
        <v>1.6</v>
      </c>
      <c r="BB127" s="89">
        <f>'CZ05 BC Factors'!D51</f>
        <v>0.2</v>
      </c>
      <c r="BC127" s="90">
        <f>'CZ05 BC Factors'!E51</f>
        <v>0.20899999999999999</v>
      </c>
      <c r="BD127" s="91">
        <f>'CZ05 BC Factors'!F51</f>
        <v>0.26100000000000001</v>
      </c>
      <c r="BE127" s="90">
        <f>'CZ05 BC Factors'!G51</f>
        <v>0.17249999999999999</v>
      </c>
      <c r="BF127" s="91">
        <f>'CZ05 BC Factors'!H51</f>
        <v>0.10799999999999998</v>
      </c>
      <c r="BG127" s="90">
        <f>'CZ05 BC Factors'!I51</f>
        <v>0.20250000000000001</v>
      </c>
      <c r="BH127" s="91">
        <f>'CZ05 BC Factors'!J51</f>
        <v>0.27</v>
      </c>
      <c r="BI127" s="92">
        <f>'CZ05 BC Factors'!K51</f>
        <v>0.19949999999999998</v>
      </c>
      <c r="BK127" s="129">
        <v>1.6</v>
      </c>
      <c r="BL127" s="89">
        <f>'CZ06 Factors'!D49</f>
        <v>0.16800000000000001</v>
      </c>
      <c r="BM127" s="90">
        <f>'CZ06 Factors'!E49</f>
        <v>0.18525000000000003</v>
      </c>
      <c r="BN127" s="91">
        <f>'CZ06 Factors'!F49</f>
        <v>0.252</v>
      </c>
      <c r="BO127" s="90">
        <f>'CZ06 Factors'!G49</f>
        <v>0.156</v>
      </c>
      <c r="BP127" s="91">
        <f>'CZ06 Factors'!H49</f>
        <v>7.1999999999999995E-2</v>
      </c>
      <c r="BQ127" s="90">
        <f>'CZ06 Factors'!I49</f>
        <v>0.28365000000000001</v>
      </c>
      <c r="BR127" s="91">
        <f>'CZ06 Factors'!J49</f>
        <v>0.54339999999999999</v>
      </c>
      <c r="BS127" s="92">
        <f>'CZ06 Factors'!K49</f>
        <v>0.26039999999999996</v>
      </c>
      <c r="BU127" s="129">
        <v>1.6</v>
      </c>
      <c r="BV127" s="89">
        <f>'CZ07 Factors'!D51</f>
        <v>0.21599999999999997</v>
      </c>
      <c r="BW127" s="90">
        <f>'CZ07 Factors'!E51</f>
        <v>0.21</v>
      </c>
      <c r="BX127" s="91">
        <f>'CZ07 Factors'!F51</f>
        <v>0.26400000000000001</v>
      </c>
      <c r="BY127" s="90">
        <f>'CZ07 Factors'!G51</f>
        <v>0.216</v>
      </c>
      <c r="BZ127" s="91">
        <f>'CZ07 Factors'!H51</f>
        <v>0.16</v>
      </c>
      <c r="CA127" s="90">
        <f>'CZ07 Factors'!I51</f>
        <v>0.221</v>
      </c>
      <c r="CB127" s="91">
        <f>'CZ07 Factors'!J51</f>
        <v>0.27900000000000003</v>
      </c>
      <c r="CC127" s="92">
        <f>'CZ07 Factors'!K51</f>
        <v>0.22049999999999997</v>
      </c>
      <c r="CE127" s="129">
        <v>1.6</v>
      </c>
      <c r="CF127" s="89">
        <f>'CZ08 Factors'!D51</f>
        <v>0.16400000000000001</v>
      </c>
      <c r="CG127" s="90">
        <f>'CZ08 Factors'!E51</f>
        <v>0.2016</v>
      </c>
      <c r="CH127" s="91">
        <f>'CZ08 Factors'!F51</f>
        <v>0.33</v>
      </c>
      <c r="CI127" s="90">
        <f>'CZ08 Factors'!G51</f>
        <v>0.1875</v>
      </c>
      <c r="CJ127" s="91">
        <f>'CZ08 Factors'!H51</f>
        <v>7.1999999999999995E-2</v>
      </c>
      <c r="CK127" s="90">
        <f>'CZ08 Factors'!I51</f>
        <v>0.17375000000000002</v>
      </c>
      <c r="CL127" s="91">
        <f>'CZ08 Factors'!J51</f>
        <v>0.30690000000000001</v>
      </c>
      <c r="CM127" s="92">
        <f>'CZ08 Factors'!K51</f>
        <v>0.19910000000000003</v>
      </c>
    </row>
    <row r="128" spans="1:91" x14ac:dyDescent="0.25">
      <c r="A128" s="24"/>
      <c r="B128" s="66">
        <f t="shared" si="14"/>
        <v>3780</v>
      </c>
      <c r="C128" s="128">
        <v>1.8</v>
      </c>
      <c r="D128" s="89">
        <f>'CZ01 Factors'!D34</f>
        <v>0.15209999999999999</v>
      </c>
      <c r="E128" s="90">
        <f>'CZ01 Factors'!E34</f>
        <v>0.20519999999999997</v>
      </c>
      <c r="F128" s="91">
        <f>'CZ01 Factors'!F34</f>
        <v>0.29970000000000008</v>
      </c>
      <c r="G128" s="90">
        <f>'CZ01 Factors'!G34</f>
        <v>0.2112</v>
      </c>
      <c r="H128" s="91">
        <f>'CZ01 Factors'!H34</f>
        <v>0.13770000000000002</v>
      </c>
      <c r="I128" s="90">
        <f>'CZ01 Factors'!I34</f>
        <v>0.25340000000000007</v>
      </c>
      <c r="J128" s="91">
        <f>'CZ01 Factors'!J34</f>
        <v>0.3</v>
      </c>
      <c r="K128" s="92">
        <f>'CZ01 Factors'!K34</f>
        <v>0.19529999999999997</v>
      </c>
      <c r="M128" s="129">
        <v>1.8</v>
      </c>
      <c r="N128" s="89">
        <f>'CZ02 Factors'!D52</f>
        <v>0.10200000000000001</v>
      </c>
      <c r="O128" s="90">
        <f>'CZ02 Factors'!E52</f>
        <v>0.155</v>
      </c>
      <c r="P128" s="91">
        <f>'CZ02 Factors'!F52</f>
        <v>0.22800000000000001</v>
      </c>
      <c r="Q128" s="90">
        <f>'CZ02 Factors'!G52</f>
        <v>0.1595</v>
      </c>
      <c r="R128" s="91">
        <f>'CZ02 Factors'!H52</f>
        <v>8.5000000000000006E-2</v>
      </c>
      <c r="S128" s="90">
        <f>'CZ02 Factors'!I52</f>
        <v>0.247</v>
      </c>
      <c r="T128" s="91">
        <f>'CZ02 Factors'!J52</f>
        <v>0.39200000000000002</v>
      </c>
      <c r="U128" s="92">
        <f>'CZ02 Factors'!K52</f>
        <v>0.2</v>
      </c>
      <c r="W128" s="129">
        <v>1.8</v>
      </c>
      <c r="X128" s="89">
        <f>'CZ03 Factors'!D52</f>
        <v>0.21</v>
      </c>
      <c r="Y128" s="90">
        <f>'CZ03 Factors'!E52</f>
        <v>0.23749999999999999</v>
      </c>
      <c r="Z128" s="91">
        <f>'CZ03 Factors'!F52</f>
        <v>0.33</v>
      </c>
      <c r="AA128" s="90">
        <f>'CZ03 Factors'!G52</f>
        <v>0.27600000000000002</v>
      </c>
      <c r="AB128" s="91">
        <f>'CZ03 Factors'!H52</f>
        <v>0.192</v>
      </c>
      <c r="AC128" s="90">
        <f>'CZ03 Factors'!I52</f>
        <v>0.28000000000000003</v>
      </c>
      <c r="AD128" s="91">
        <f>'CZ03 Factors'!J52</f>
        <v>0.26400000000000001</v>
      </c>
      <c r="AE128" s="92">
        <f>'CZ03 Factors'!K52</f>
        <v>0.20899999999999999</v>
      </c>
      <c r="AG128" s="129">
        <v>1.8</v>
      </c>
      <c r="AH128" s="89">
        <f>'CZ04 Factors'!D52</f>
        <v>0.18700000000000003</v>
      </c>
      <c r="AI128" s="90">
        <f>'CZ04 Factors'!E52</f>
        <v>0.17099999999999996</v>
      </c>
      <c r="AJ128" s="91">
        <f>'CZ04 Factors'!F52</f>
        <v>0.25600000000000001</v>
      </c>
      <c r="AK128" s="90">
        <f>'CZ04 Factors'!G52</f>
        <v>0.17550000000000004</v>
      </c>
      <c r="AL128" s="91">
        <f>'CZ04 Factors'!H52</f>
        <v>7.0000000000000007E-2</v>
      </c>
      <c r="AM128" s="90">
        <f>'CZ04 Factors'!I52</f>
        <v>0.16250000000000001</v>
      </c>
      <c r="AN128" s="91">
        <f>'CZ04 Factors'!J52</f>
        <v>0.25600000000000001</v>
      </c>
      <c r="AO128" s="92">
        <f>'CZ04 Factors'!K52</f>
        <v>0.1615</v>
      </c>
      <c r="AQ128" s="129">
        <v>1.8</v>
      </c>
      <c r="AR128" s="89">
        <f>'CZ05 Factors'!D52</f>
        <v>0.14759999999999998</v>
      </c>
      <c r="AS128" s="90">
        <f>'CZ05 Factors'!E52</f>
        <v>0.16999999999999998</v>
      </c>
      <c r="AT128" s="91">
        <f>'CZ05 Factors'!F52</f>
        <v>0.21999999999999997</v>
      </c>
      <c r="AU128" s="90">
        <f>'CZ05 Factors'!G52</f>
        <v>0.13440000000000002</v>
      </c>
      <c r="AV128" s="91">
        <f>'CZ05 Factors'!H52</f>
        <v>6.8000000000000005E-2</v>
      </c>
      <c r="AW128" s="90">
        <f>'CZ05 Factors'!I52</f>
        <v>0.14835000000000001</v>
      </c>
      <c r="AX128" s="91">
        <f>'CZ05 Factors'!J52</f>
        <v>0.24030000000000001</v>
      </c>
      <c r="AY128" s="92">
        <f>'CZ05 Factors'!K52</f>
        <v>0.17099999999999999</v>
      </c>
      <c r="AZ128" s="203"/>
      <c r="BA128" s="129">
        <v>1.8</v>
      </c>
      <c r="BB128" s="89">
        <f>'CZ05 BC Factors'!D52</f>
        <v>0.18</v>
      </c>
      <c r="BC128" s="90">
        <f>'CZ05 BC Factors'!E52</f>
        <v>0.19000000000000003</v>
      </c>
      <c r="BD128" s="91">
        <f>'CZ05 BC Factors'!F52</f>
        <v>0.22500000000000001</v>
      </c>
      <c r="BE128" s="90">
        <f>'CZ05 BC Factors'!G52</f>
        <v>0.1575</v>
      </c>
      <c r="BF128" s="91">
        <f>'CZ05 BC Factors'!H52</f>
        <v>0.10200000000000001</v>
      </c>
      <c r="BG128" s="90">
        <f>'CZ05 BC Factors'!I52</f>
        <v>0.17249999999999999</v>
      </c>
      <c r="BH128" s="91">
        <f>'CZ05 BC Factors'!J52</f>
        <v>0.24300000000000005</v>
      </c>
      <c r="BI128" s="92">
        <f>'CZ05 BC Factors'!K52</f>
        <v>0.19</v>
      </c>
      <c r="BK128" s="129">
        <v>1.8</v>
      </c>
      <c r="BL128" s="89">
        <f>'CZ06 Factors'!D50</f>
        <v>0.1575</v>
      </c>
      <c r="BM128" s="90">
        <f>'CZ06 Factors'!E50</f>
        <v>0.17550000000000002</v>
      </c>
      <c r="BN128" s="91">
        <f>'CZ06 Factors'!F50</f>
        <v>0.23400000000000001</v>
      </c>
      <c r="BO128" s="90">
        <f>'CZ06 Factors'!G50</f>
        <v>0.14300000000000002</v>
      </c>
      <c r="BP128" s="91">
        <f>'CZ06 Factors'!H50</f>
        <v>6.8000000000000005E-2</v>
      </c>
      <c r="BQ128" s="90">
        <f>'CZ06 Factors'!I50</f>
        <v>0.25619999999999998</v>
      </c>
      <c r="BR128" s="91">
        <f>'CZ06 Factors'!J50</f>
        <v>0.48620000000000002</v>
      </c>
      <c r="BS128" s="92">
        <f>'CZ06 Factors'!K50</f>
        <v>0.24800000000000003</v>
      </c>
      <c r="BU128" s="129">
        <v>1.8</v>
      </c>
      <c r="BV128" s="89">
        <f>'CZ07 Factors'!D52</f>
        <v>0.20399999999999999</v>
      </c>
      <c r="BW128" s="90">
        <f>'CZ07 Factors'!E52</f>
        <v>0.2</v>
      </c>
      <c r="BX128" s="91">
        <f>'CZ07 Factors'!F52</f>
        <v>0.22400000000000003</v>
      </c>
      <c r="BY128" s="90">
        <f>'CZ07 Factors'!G52</f>
        <v>0.19199999999999995</v>
      </c>
      <c r="BZ128" s="91">
        <f>'CZ07 Factors'!H52</f>
        <v>0.14400000000000002</v>
      </c>
      <c r="CA128" s="90">
        <f>'CZ07 Factors'!I52</f>
        <v>0.20400000000000001</v>
      </c>
      <c r="CB128" s="91">
        <f>'CZ07 Factors'!J52</f>
        <v>0.24300000000000002</v>
      </c>
      <c r="CC128" s="92">
        <f>'CZ07 Factors'!K52</f>
        <v>0.19950000000000001</v>
      </c>
      <c r="CE128" s="129">
        <v>1.8</v>
      </c>
      <c r="CF128" s="89">
        <f>'CZ08 Factors'!D52</f>
        <v>0.15579999999999999</v>
      </c>
      <c r="CG128" s="90">
        <f>'CZ08 Factors'!E52</f>
        <v>0.19200000000000003</v>
      </c>
      <c r="CH128" s="91">
        <f>'CZ08 Factors'!F52</f>
        <v>0.27500000000000002</v>
      </c>
      <c r="CI128" s="90">
        <f>'CZ08 Factors'!G52</f>
        <v>0.16500000000000001</v>
      </c>
      <c r="CJ128" s="91">
        <f>'CZ08 Factors'!H52</f>
        <v>6.8000000000000005E-2</v>
      </c>
      <c r="CK128" s="90">
        <f>'CZ08 Factors'!I52</f>
        <v>0.15985000000000002</v>
      </c>
      <c r="CL128" s="91">
        <f>'CZ08 Factors'!J52</f>
        <v>0.27720000000000006</v>
      </c>
      <c r="CM128" s="92">
        <f>'CZ08 Factors'!K52</f>
        <v>0.18100000000000002</v>
      </c>
    </row>
    <row r="129" spans="1:91" ht="13" x14ac:dyDescent="0.3">
      <c r="A129" s="24"/>
      <c r="B129" s="66">
        <f t="shared" si="14"/>
        <v>4200</v>
      </c>
      <c r="C129" s="65">
        <v>2</v>
      </c>
      <c r="D129" s="49">
        <f>'CZ01 Factors'!D35</f>
        <v>0.14039999999999997</v>
      </c>
      <c r="E129" s="54">
        <f>'CZ01 Factors'!E35</f>
        <v>0.1938</v>
      </c>
      <c r="F129" s="50">
        <f>'CZ01 Factors'!F35</f>
        <v>0.25530000000000003</v>
      </c>
      <c r="G129" s="54">
        <f>'CZ01 Factors'!G35</f>
        <v>0.20159999999999997</v>
      </c>
      <c r="H129" s="50">
        <f>'CZ01 Factors'!H35</f>
        <v>0.12959999999999999</v>
      </c>
      <c r="I129" s="54">
        <f>'CZ01 Factors'!I35</f>
        <v>0.2172</v>
      </c>
      <c r="J129" s="50">
        <f>'CZ01 Factors'!J35</f>
        <v>0.28000000000000003</v>
      </c>
      <c r="K129" s="56">
        <f>'CZ01 Factors'!K35</f>
        <v>0.18445</v>
      </c>
      <c r="M129" s="59">
        <v>2</v>
      </c>
      <c r="N129" s="49">
        <f>'CZ02 Factors'!D53</f>
        <v>0.10200000000000001</v>
      </c>
      <c r="O129" s="54">
        <f>'CZ02 Factors'!E53</f>
        <v>0.14724999999999999</v>
      </c>
      <c r="P129" s="50">
        <f>'CZ02 Factors'!F53</f>
        <v>0.20900000000000002</v>
      </c>
      <c r="Q129" s="54">
        <f>'CZ02 Factors'!G53</f>
        <v>0.15225</v>
      </c>
      <c r="R129" s="50">
        <f>'CZ02 Factors'!H53</f>
        <v>0.08</v>
      </c>
      <c r="S129" s="54">
        <f>'CZ02 Factors'!I53</f>
        <v>0.20900000000000002</v>
      </c>
      <c r="T129" s="50">
        <f>'CZ02 Factors'!J53</f>
        <v>0.378</v>
      </c>
      <c r="U129" s="56">
        <f>'CZ02 Factors'!K53</f>
        <v>0.19000000000000003</v>
      </c>
      <c r="W129" s="59">
        <v>2</v>
      </c>
      <c r="X129" s="49">
        <f>'CZ03 Factors'!D53</f>
        <v>0.21</v>
      </c>
      <c r="Y129" s="54">
        <f>'CZ03 Factors'!E53</f>
        <v>0.22500000000000001</v>
      </c>
      <c r="Z129" s="50">
        <f>'CZ03 Factors'!F53</f>
        <v>0.27500000000000002</v>
      </c>
      <c r="AA129" s="54">
        <f>'CZ03 Factors'!G53</f>
        <v>0.27600000000000002</v>
      </c>
      <c r="AB129" s="50">
        <f>'CZ03 Factors'!H53</f>
        <v>0.18</v>
      </c>
      <c r="AC129" s="54">
        <f>'CZ03 Factors'!I53</f>
        <v>0.24</v>
      </c>
      <c r="AD129" s="50">
        <f>'CZ03 Factors'!J53</f>
        <v>0.216</v>
      </c>
      <c r="AE129" s="56">
        <f>'CZ03 Factors'!K53</f>
        <v>0.187</v>
      </c>
      <c r="AG129" s="59">
        <v>2</v>
      </c>
      <c r="AH129" s="49">
        <f>'CZ04 Factors'!D53</f>
        <v>0.18700000000000003</v>
      </c>
      <c r="AI129" s="54">
        <f>'CZ04 Factors'!E53</f>
        <v>0.1615</v>
      </c>
      <c r="AJ129" s="50">
        <f>'CZ04 Factors'!F53</f>
        <v>0.22400000000000003</v>
      </c>
      <c r="AK129" s="54">
        <f>'CZ04 Factors'!G53</f>
        <v>0.14950000000000002</v>
      </c>
      <c r="AL129" s="50">
        <f>'CZ04 Factors'!H53</f>
        <v>7.0000000000000007E-2</v>
      </c>
      <c r="AM129" s="54">
        <f>'CZ04 Factors'!I53</f>
        <v>0.156</v>
      </c>
      <c r="AN129" s="50">
        <f>'CZ04 Factors'!J53</f>
        <v>0.20800000000000002</v>
      </c>
      <c r="AO129" s="56">
        <f>'CZ04 Factors'!K53</f>
        <v>0.152</v>
      </c>
      <c r="AQ129" s="59">
        <v>2</v>
      </c>
      <c r="AR129" s="49">
        <f>'CZ05 Factors'!D53</f>
        <v>0.1394</v>
      </c>
      <c r="AS129" s="54">
        <f>'CZ05 Factors'!E53</f>
        <v>0.14449999999999999</v>
      </c>
      <c r="AT129" s="50">
        <f>'CZ05 Factors'!F53</f>
        <v>0.2112</v>
      </c>
      <c r="AU129" s="54">
        <f>'CZ05 Factors'!G53</f>
        <v>0.13440000000000002</v>
      </c>
      <c r="AV129" s="50">
        <f>'CZ05 Factors'!H53</f>
        <v>6.4000000000000001E-2</v>
      </c>
      <c r="AW129" s="54">
        <f>'CZ05 Factors'!I53</f>
        <v>0.13544999999999999</v>
      </c>
      <c r="AX129" s="50">
        <f>'CZ05 Factors'!J53</f>
        <v>0.22249999999999998</v>
      </c>
      <c r="AY129" s="56">
        <f>'CZ05 Factors'!K53</f>
        <v>0.16245000000000001</v>
      </c>
      <c r="AZ129" s="202"/>
      <c r="BA129" s="59">
        <v>2</v>
      </c>
      <c r="BB129" s="49">
        <f>'CZ05 BC Factors'!D53</f>
        <v>0.17</v>
      </c>
      <c r="BC129" s="54">
        <f>'CZ05 BC Factors'!E53</f>
        <v>0.16150000000000003</v>
      </c>
      <c r="BD129" s="50">
        <f>'CZ05 BC Factors'!F53</f>
        <v>0.216</v>
      </c>
      <c r="BE129" s="54">
        <f>'CZ05 BC Factors'!G53</f>
        <v>0.1575</v>
      </c>
      <c r="BF129" s="50">
        <f>'CZ05 BC Factors'!H53</f>
        <v>9.6000000000000002E-2</v>
      </c>
      <c r="BG129" s="54">
        <f>'CZ05 BC Factors'!I53</f>
        <v>0.15749999999999997</v>
      </c>
      <c r="BH129" s="50">
        <f>'CZ05 BC Factors'!J53</f>
        <v>0.22500000000000001</v>
      </c>
      <c r="BI129" s="56">
        <f>'CZ05 BC Factors'!K53</f>
        <v>0.18049999999999999</v>
      </c>
      <c r="BK129" s="59">
        <v>2</v>
      </c>
      <c r="BL129" s="49">
        <f>'CZ06 Factors'!D51</f>
        <v>0.14700000000000002</v>
      </c>
      <c r="BM129" s="54">
        <f>'CZ06 Factors'!E51</f>
        <v>0.16575000000000004</v>
      </c>
      <c r="BN129" s="50">
        <f>'CZ06 Factors'!F51</f>
        <v>0.216</v>
      </c>
      <c r="BO129" s="54">
        <f>'CZ06 Factors'!G51</f>
        <v>0.13649999999999998</v>
      </c>
      <c r="BP129" s="50">
        <f>'CZ06 Factors'!H51</f>
        <v>6.8000000000000005E-2</v>
      </c>
      <c r="BQ129" s="54">
        <f>'CZ06 Factors'!I51</f>
        <v>0.2379</v>
      </c>
      <c r="BR129" s="50">
        <f>'CZ06 Factors'!J51</f>
        <v>0.44329999999999997</v>
      </c>
      <c r="BS129" s="56">
        <f>'CZ06 Factors'!K51</f>
        <v>0.21080000000000002</v>
      </c>
      <c r="BU129" s="59">
        <v>2</v>
      </c>
      <c r="BV129" s="49">
        <f>'CZ07 Factors'!D53</f>
        <v>0.192</v>
      </c>
      <c r="BW129" s="54">
        <f>'CZ07 Factors'!E53</f>
        <v>0.19</v>
      </c>
      <c r="BX129" s="50">
        <f>'CZ07 Factors'!F53</f>
        <v>0.21600000000000003</v>
      </c>
      <c r="BY129" s="54">
        <f>'CZ07 Factors'!G53</f>
        <v>0.184</v>
      </c>
      <c r="BZ129" s="50">
        <f>'CZ07 Factors'!H53</f>
        <v>0.14400000000000002</v>
      </c>
      <c r="CA129" s="54">
        <f>'CZ07 Factors'!I53</f>
        <v>0.17850000000000002</v>
      </c>
      <c r="CB129" s="50">
        <f>'CZ07 Factors'!J53</f>
        <v>0.22500000000000001</v>
      </c>
      <c r="CC129" s="56">
        <f>'CZ07 Factors'!K53</f>
        <v>0.189</v>
      </c>
      <c r="CE129" s="59">
        <v>2</v>
      </c>
      <c r="CF129" s="49">
        <f>'CZ08 Factors'!D53</f>
        <v>0.13119999999999998</v>
      </c>
      <c r="CG129" s="54">
        <f>'CZ08 Factors'!E53</f>
        <v>0.17280000000000001</v>
      </c>
      <c r="CH129" s="50">
        <f>'CZ08 Factors'!F53</f>
        <v>0.253</v>
      </c>
      <c r="CI129" s="54">
        <f>'CZ08 Factors'!G53</f>
        <v>0.1575</v>
      </c>
      <c r="CJ129" s="50">
        <f>'CZ08 Factors'!H53</f>
        <v>6.4000000000000001E-2</v>
      </c>
      <c r="CK129" s="54">
        <f>'CZ08 Factors'!I53</f>
        <v>0.15290000000000001</v>
      </c>
      <c r="CL129" s="50">
        <f>'CZ08 Factors'!J53</f>
        <v>0.23760000000000001</v>
      </c>
      <c r="CM129" s="56">
        <f>'CZ08 Factors'!K53</f>
        <v>0.17195000000000005</v>
      </c>
    </row>
    <row r="130" spans="1:91" x14ac:dyDescent="0.25">
      <c r="A130" s="24"/>
      <c r="B130" s="24"/>
      <c r="C130" s="30" t="s">
        <v>305</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row>
    <row r="131" spans="1:91"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row>
    <row r="132" spans="1:91" ht="13" x14ac:dyDescent="0.3">
      <c r="A132" s="24"/>
      <c r="B132" s="67">
        <v>2100</v>
      </c>
      <c r="C132" s="130" t="s">
        <v>306</v>
      </c>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row>
    <row r="133" spans="1:91" ht="13" x14ac:dyDescent="0.3">
      <c r="A133" s="24"/>
      <c r="B133" s="26" t="s">
        <v>307</v>
      </c>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row>
    <row r="134" spans="1:91" ht="13" x14ac:dyDescent="0.3">
      <c r="A134" s="24"/>
      <c r="B134" s="186"/>
      <c r="C134" s="187"/>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row>
    <row r="135" spans="1:91" ht="15.5" x14ac:dyDescent="0.35">
      <c r="A135" s="24"/>
      <c r="B135" s="69" t="s">
        <v>308</v>
      </c>
      <c r="C135" s="68" t="s">
        <v>309</v>
      </c>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row>
    <row r="136" spans="1:91" ht="13" x14ac:dyDescent="0.3">
      <c r="A136" s="24"/>
      <c r="C136" s="26" t="s">
        <v>310</v>
      </c>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row>
    <row r="137" spans="1:91" x14ac:dyDescent="0.25">
      <c r="A137" s="24"/>
      <c r="D137" s="33"/>
      <c r="E137" s="33"/>
      <c r="F137" s="33"/>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row>
    <row r="138" spans="1:91" ht="13" x14ac:dyDescent="0.3">
      <c r="A138" s="24"/>
      <c r="C138" s="1" t="s">
        <v>290</v>
      </c>
      <c r="L138" s="24"/>
      <c r="M138" s="1" t="s">
        <v>291</v>
      </c>
      <c r="V138" s="24"/>
      <c r="W138" s="1" t="s">
        <v>292</v>
      </c>
      <c r="AF138" s="24"/>
      <c r="AG138" s="1" t="s">
        <v>293</v>
      </c>
      <c r="AP138" s="24"/>
      <c r="AQ138" s="1" t="s">
        <v>294</v>
      </c>
      <c r="BA138" s="1" t="s">
        <v>294</v>
      </c>
      <c r="BJ138" s="24"/>
      <c r="BK138" s="1" t="s">
        <v>295</v>
      </c>
      <c r="BT138" s="24"/>
      <c r="BU138" s="1" t="s">
        <v>296</v>
      </c>
      <c r="CD138" s="24"/>
      <c r="CE138" s="1" t="s">
        <v>297</v>
      </c>
    </row>
    <row r="139" spans="1:91" x14ac:dyDescent="0.25">
      <c r="A139" s="24"/>
      <c r="C139" s="123"/>
      <c r="D139" s="46" t="s">
        <v>277</v>
      </c>
      <c r="E139" s="44" t="s">
        <v>278</v>
      </c>
      <c r="F139" s="44" t="s">
        <v>279</v>
      </c>
      <c r="G139" s="44" t="s">
        <v>280</v>
      </c>
      <c r="H139" s="44" t="s">
        <v>281</v>
      </c>
      <c r="I139" s="44" t="s">
        <v>282</v>
      </c>
      <c r="J139" s="44" t="s">
        <v>283</v>
      </c>
      <c r="K139" s="45" t="s">
        <v>284</v>
      </c>
      <c r="L139" s="24"/>
      <c r="M139" s="123"/>
      <c r="N139" s="46" t="s">
        <v>277</v>
      </c>
      <c r="O139" s="44" t="s">
        <v>278</v>
      </c>
      <c r="P139" s="44" t="s">
        <v>279</v>
      </c>
      <c r="Q139" s="44" t="s">
        <v>280</v>
      </c>
      <c r="R139" s="44" t="s">
        <v>281</v>
      </c>
      <c r="S139" s="44" t="s">
        <v>282</v>
      </c>
      <c r="T139" s="44" t="s">
        <v>283</v>
      </c>
      <c r="U139" s="45" t="s">
        <v>284</v>
      </c>
      <c r="W139" s="123"/>
      <c r="X139" s="46" t="s">
        <v>277</v>
      </c>
      <c r="Y139" s="44" t="s">
        <v>278</v>
      </c>
      <c r="Z139" s="44" t="s">
        <v>279</v>
      </c>
      <c r="AA139" s="44" t="s">
        <v>280</v>
      </c>
      <c r="AB139" s="44" t="s">
        <v>281</v>
      </c>
      <c r="AC139" s="44" t="s">
        <v>282</v>
      </c>
      <c r="AD139" s="44" t="s">
        <v>283</v>
      </c>
      <c r="AE139" s="45" t="s">
        <v>284</v>
      </c>
      <c r="AG139" s="123"/>
      <c r="AH139" s="46" t="s">
        <v>277</v>
      </c>
      <c r="AI139" s="44" t="s">
        <v>278</v>
      </c>
      <c r="AJ139" s="44" t="s">
        <v>279</v>
      </c>
      <c r="AK139" s="44" t="s">
        <v>280</v>
      </c>
      <c r="AL139" s="44" t="s">
        <v>281</v>
      </c>
      <c r="AM139" s="44" t="s">
        <v>282</v>
      </c>
      <c r="AN139" s="44" t="s">
        <v>283</v>
      </c>
      <c r="AO139" s="45" t="s">
        <v>284</v>
      </c>
      <c r="AQ139" s="123"/>
      <c r="AR139" s="46" t="s">
        <v>277</v>
      </c>
      <c r="AS139" s="44" t="s">
        <v>278</v>
      </c>
      <c r="AT139" s="44" t="s">
        <v>279</v>
      </c>
      <c r="AU139" s="44" t="s">
        <v>280</v>
      </c>
      <c r="AV139" s="44" t="s">
        <v>281</v>
      </c>
      <c r="AW139" s="44" t="s">
        <v>282</v>
      </c>
      <c r="AX139" s="44" t="s">
        <v>283</v>
      </c>
      <c r="AY139" s="45" t="s">
        <v>284</v>
      </c>
      <c r="AZ139" s="200"/>
      <c r="BA139" s="123"/>
      <c r="BB139" s="46" t="s">
        <v>277</v>
      </c>
      <c r="BC139" s="44" t="s">
        <v>278</v>
      </c>
      <c r="BD139" s="44" t="s">
        <v>279</v>
      </c>
      <c r="BE139" s="44" t="s">
        <v>280</v>
      </c>
      <c r="BF139" s="44" t="s">
        <v>281</v>
      </c>
      <c r="BG139" s="44" t="s">
        <v>282</v>
      </c>
      <c r="BH139" s="44" t="s">
        <v>283</v>
      </c>
      <c r="BI139" s="45" t="s">
        <v>284</v>
      </c>
      <c r="BK139" s="123"/>
      <c r="BL139" s="46" t="s">
        <v>277</v>
      </c>
      <c r="BM139" s="44" t="s">
        <v>278</v>
      </c>
      <c r="BN139" s="44" t="s">
        <v>279</v>
      </c>
      <c r="BO139" s="44" t="s">
        <v>280</v>
      </c>
      <c r="BP139" s="44" t="s">
        <v>281</v>
      </c>
      <c r="BQ139" s="44" t="s">
        <v>282</v>
      </c>
      <c r="BR139" s="44" t="s">
        <v>283</v>
      </c>
      <c r="BS139" s="45" t="s">
        <v>284</v>
      </c>
      <c r="BU139" s="123"/>
      <c r="BV139" s="46" t="s">
        <v>277</v>
      </c>
      <c r="BW139" s="44" t="s">
        <v>278</v>
      </c>
      <c r="BX139" s="44" t="s">
        <v>279</v>
      </c>
      <c r="BY139" s="44" t="s">
        <v>280</v>
      </c>
      <c r="BZ139" s="44" t="s">
        <v>281</v>
      </c>
      <c r="CA139" s="44" t="s">
        <v>282</v>
      </c>
      <c r="CB139" s="44" t="s">
        <v>283</v>
      </c>
      <c r="CC139" s="45" t="s">
        <v>284</v>
      </c>
      <c r="CE139" s="123"/>
      <c r="CF139" s="46" t="s">
        <v>277</v>
      </c>
      <c r="CG139" s="44" t="s">
        <v>278</v>
      </c>
      <c r="CH139" s="44" t="s">
        <v>279</v>
      </c>
      <c r="CI139" s="44" t="s">
        <v>280</v>
      </c>
      <c r="CJ139" s="44" t="s">
        <v>281</v>
      </c>
      <c r="CK139" s="44" t="s">
        <v>282</v>
      </c>
      <c r="CL139" s="44" t="s">
        <v>283</v>
      </c>
      <c r="CM139" s="45" t="s">
        <v>284</v>
      </c>
    </row>
    <row r="140" spans="1:91" x14ac:dyDescent="0.25">
      <c r="A140" s="24"/>
      <c r="C140" s="47" t="s">
        <v>304</v>
      </c>
      <c r="D140" s="124">
        <v>0</v>
      </c>
      <c r="E140" s="125">
        <v>45</v>
      </c>
      <c r="F140" s="126">
        <v>90</v>
      </c>
      <c r="G140" s="125">
        <v>135</v>
      </c>
      <c r="H140" s="126">
        <v>180</v>
      </c>
      <c r="I140" s="125">
        <v>225</v>
      </c>
      <c r="J140" s="126">
        <v>270</v>
      </c>
      <c r="K140" s="127">
        <v>315</v>
      </c>
      <c r="L140" s="24"/>
      <c r="M140" s="47" t="s">
        <v>304</v>
      </c>
      <c r="N140" s="124">
        <v>0</v>
      </c>
      <c r="O140" s="125">
        <v>45</v>
      </c>
      <c r="P140" s="126">
        <v>90</v>
      </c>
      <c r="Q140" s="125">
        <v>135</v>
      </c>
      <c r="R140" s="126">
        <v>180</v>
      </c>
      <c r="S140" s="125">
        <v>225</v>
      </c>
      <c r="T140" s="126">
        <v>270</v>
      </c>
      <c r="U140" s="127">
        <v>315</v>
      </c>
      <c r="W140" s="47" t="s">
        <v>304</v>
      </c>
      <c r="X140" s="124">
        <v>0</v>
      </c>
      <c r="Y140" s="125">
        <v>45</v>
      </c>
      <c r="Z140" s="126">
        <v>90</v>
      </c>
      <c r="AA140" s="125">
        <v>135</v>
      </c>
      <c r="AB140" s="126">
        <v>180</v>
      </c>
      <c r="AC140" s="125">
        <v>225</v>
      </c>
      <c r="AD140" s="126">
        <v>270</v>
      </c>
      <c r="AE140" s="127">
        <v>315</v>
      </c>
      <c r="AG140" s="47" t="s">
        <v>304</v>
      </c>
      <c r="AH140" s="124">
        <v>0</v>
      </c>
      <c r="AI140" s="125">
        <v>45</v>
      </c>
      <c r="AJ140" s="126">
        <v>90</v>
      </c>
      <c r="AK140" s="125">
        <v>135</v>
      </c>
      <c r="AL140" s="126">
        <v>180</v>
      </c>
      <c r="AM140" s="125">
        <v>225</v>
      </c>
      <c r="AN140" s="126">
        <v>270</v>
      </c>
      <c r="AO140" s="127">
        <v>315</v>
      </c>
      <c r="AQ140" s="47" t="s">
        <v>304</v>
      </c>
      <c r="AR140" s="124">
        <v>0</v>
      </c>
      <c r="AS140" s="125">
        <v>45</v>
      </c>
      <c r="AT140" s="126">
        <v>90</v>
      </c>
      <c r="AU140" s="125">
        <v>135</v>
      </c>
      <c r="AV140" s="126">
        <v>180</v>
      </c>
      <c r="AW140" s="125">
        <v>225</v>
      </c>
      <c r="AX140" s="126">
        <v>270</v>
      </c>
      <c r="AY140" s="127">
        <v>315</v>
      </c>
      <c r="AZ140" s="201"/>
      <c r="BA140" s="47" t="s">
        <v>304</v>
      </c>
      <c r="BB140" s="124">
        <v>0</v>
      </c>
      <c r="BC140" s="125">
        <v>45</v>
      </c>
      <c r="BD140" s="126">
        <v>90</v>
      </c>
      <c r="BE140" s="125">
        <v>135</v>
      </c>
      <c r="BF140" s="126">
        <v>180</v>
      </c>
      <c r="BG140" s="125">
        <v>225</v>
      </c>
      <c r="BH140" s="126">
        <v>270</v>
      </c>
      <c r="BI140" s="127">
        <v>315</v>
      </c>
      <c r="BK140" s="47" t="s">
        <v>304</v>
      </c>
      <c r="BL140" s="124">
        <v>0</v>
      </c>
      <c r="BM140" s="125">
        <v>45</v>
      </c>
      <c r="BN140" s="126">
        <v>90</v>
      </c>
      <c r="BO140" s="125">
        <v>135</v>
      </c>
      <c r="BP140" s="126">
        <v>180</v>
      </c>
      <c r="BQ140" s="125">
        <v>225</v>
      </c>
      <c r="BR140" s="126">
        <v>270</v>
      </c>
      <c r="BS140" s="127">
        <v>315</v>
      </c>
      <c r="BU140" s="47" t="s">
        <v>304</v>
      </c>
      <c r="BV140" s="124">
        <v>0</v>
      </c>
      <c r="BW140" s="125">
        <v>45</v>
      </c>
      <c r="BX140" s="126">
        <v>90</v>
      </c>
      <c r="BY140" s="125">
        <v>135</v>
      </c>
      <c r="BZ140" s="126">
        <v>180</v>
      </c>
      <c r="CA140" s="125">
        <v>225</v>
      </c>
      <c r="CB140" s="126">
        <v>270</v>
      </c>
      <c r="CC140" s="127">
        <v>315</v>
      </c>
      <c r="CE140" s="47" t="s">
        <v>304</v>
      </c>
      <c r="CF140" s="124">
        <v>0</v>
      </c>
      <c r="CG140" s="125">
        <v>45</v>
      </c>
      <c r="CH140" s="126">
        <v>90</v>
      </c>
      <c r="CI140" s="125">
        <v>135</v>
      </c>
      <c r="CJ140" s="126">
        <v>180</v>
      </c>
      <c r="CK140" s="125">
        <v>225</v>
      </c>
      <c r="CL140" s="126">
        <v>270</v>
      </c>
      <c r="CM140" s="127">
        <v>315</v>
      </c>
    </row>
    <row r="141" spans="1:91" ht="13" x14ac:dyDescent="0.3">
      <c r="A141" s="24"/>
      <c r="C141" s="131">
        <v>0</v>
      </c>
      <c r="D141" s="51"/>
      <c r="E141" s="61"/>
      <c r="F141" s="52"/>
      <c r="G141" s="61"/>
      <c r="H141" s="52"/>
      <c r="I141" s="61"/>
      <c r="J141" s="52"/>
      <c r="K141" s="62"/>
      <c r="L141" s="24"/>
      <c r="M141" s="131">
        <v>0</v>
      </c>
      <c r="N141" s="51">
        <f>'CZ02 Factors'!D58</f>
        <v>1.6740000000000002</v>
      </c>
      <c r="O141" s="61">
        <f>'CZ02 Factors'!E58</f>
        <v>1.3606666666666667</v>
      </c>
      <c r="P141" s="52">
        <f>'CZ02 Factors'!F58</f>
        <v>1.204</v>
      </c>
      <c r="Q141" s="61">
        <f>'CZ02 Factors'!G58</f>
        <v>0.52466666666666673</v>
      </c>
      <c r="R141" s="52">
        <f>'CZ02 Factors'!H58</f>
        <v>0.185</v>
      </c>
      <c r="S141" s="61">
        <f>'CZ02 Factors'!I58</f>
        <v>0.85033333333333339</v>
      </c>
      <c r="T141" s="52">
        <f>'CZ02 Factors'!J58</f>
        <v>1.1830000000000001</v>
      </c>
      <c r="U141" s="62">
        <f>'CZ02 Factors'!K58</f>
        <v>1.5103333333333335</v>
      </c>
      <c r="V141" s="24"/>
      <c r="W141" s="131">
        <v>0</v>
      </c>
      <c r="X141" s="51">
        <f>'CZ03 Factors'!D58</f>
        <v>1.92</v>
      </c>
      <c r="Y141" s="61">
        <f>'CZ03 Factors'!E58</f>
        <v>1.2853333333333334</v>
      </c>
      <c r="Z141" s="52">
        <f>'CZ03 Factors'!F58</f>
        <v>0.96800000000000008</v>
      </c>
      <c r="AA141" s="61">
        <f>'CZ03 Factors'!G58</f>
        <v>0.82266666666666666</v>
      </c>
      <c r="AB141" s="52">
        <f>'CZ03 Factors'!H58</f>
        <v>0.75</v>
      </c>
      <c r="AC141" s="61">
        <f>'CZ03 Factors'!I58</f>
        <v>1.0733333333333333</v>
      </c>
      <c r="AD141" s="52">
        <f>'CZ03 Factors'!J58</f>
        <v>1.2349999999999999</v>
      </c>
      <c r="AE141" s="62">
        <f>'CZ03 Factors'!K58</f>
        <v>1.6916666666666667</v>
      </c>
      <c r="AF141" s="24"/>
      <c r="AG141" s="131">
        <v>0</v>
      </c>
      <c r="AH141" s="51">
        <f>'CZ04 Factors'!D58</f>
        <v>1.379</v>
      </c>
      <c r="AI141" s="61">
        <f>'CZ04 Factors'!E58</f>
        <v>1.1236666666666666</v>
      </c>
      <c r="AJ141" s="52">
        <f>'CZ04 Factors'!F58</f>
        <v>0.99599999999999989</v>
      </c>
      <c r="AK141" s="61">
        <f>'CZ04 Factors'!G58</f>
        <v>0.70533333333333326</v>
      </c>
      <c r="AL141" s="52">
        <f>'CZ04 Factors'!H58</f>
        <v>0.55999999999999994</v>
      </c>
      <c r="AM141" s="61">
        <f>'CZ04 Factors'!I58</f>
        <v>0.8666666666666667</v>
      </c>
      <c r="AN141" s="52">
        <f>'CZ04 Factors'!J58</f>
        <v>1.02</v>
      </c>
      <c r="AO141" s="62">
        <f>'CZ04 Factors'!K58</f>
        <v>1.2593333333333334</v>
      </c>
      <c r="AP141" s="24"/>
      <c r="AQ141" s="131">
        <v>0</v>
      </c>
      <c r="AR141" s="51">
        <f>'CZ05 Factors'!D58</f>
        <v>1.6079999999999999</v>
      </c>
      <c r="AS141" s="61">
        <f>'CZ05 Factors'!E58</f>
        <v>1.2033333333333334</v>
      </c>
      <c r="AT141" s="52">
        <f>'CZ05 Factors'!F58</f>
        <v>1.0010000000000001</v>
      </c>
      <c r="AU141" s="61">
        <f>'CZ05 Factors'!G58</f>
        <v>0.65433333333333343</v>
      </c>
      <c r="AV141" s="52">
        <f>'CZ05 Factors'!H58</f>
        <v>0.48099999999999998</v>
      </c>
      <c r="AW141" s="61">
        <f>'CZ05 Factors'!I58</f>
        <v>0.95366666666666666</v>
      </c>
      <c r="AX141" s="52">
        <f>'CZ05 Factors'!J58</f>
        <v>1.19</v>
      </c>
      <c r="AY141" s="62">
        <f>'CZ05 Factors'!K58</f>
        <v>1.4686666666666666</v>
      </c>
      <c r="AZ141" s="202"/>
      <c r="BA141" s="131">
        <v>0</v>
      </c>
      <c r="BB141" s="51">
        <f>'CZ05 BC Factors'!D58</f>
        <v>1.7084999999999997</v>
      </c>
      <c r="BC141" s="61">
        <f>'CZ05 BC Factors'!E58</f>
        <v>1.2368333333333332</v>
      </c>
      <c r="BD141" s="52">
        <f>'CZ05 BC Factors'!F58</f>
        <v>1.0010000000000001</v>
      </c>
      <c r="BE141" s="61">
        <f>'CZ05 BC Factors'!G58</f>
        <v>0.6296666666666666</v>
      </c>
      <c r="BF141" s="52">
        <f>'CZ05 BC Factors'!H58</f>
        <v>0.44400000000000001</v>
      </c>
      <c r="BG141" s="61">
        <f>'CZ05 BC Factors'!I58</f>
        <v>0.94133333333333336</v>
      </c>
      <c r="BH141" s="52">
        <f>'CZ05 BC Factors'!J58</f>
        <v>1.19</v>
      </c>
      <c r="BI141" s="62">
        <f>'CZ05 BC Factors'!K58</f>
        <v>1.5356666666666665</v>
      </c>
      <c r="BJ141" s="24"/>
      <c r="BK141" s="131">
        <v>0</v>
      </c>
      <c r="BL141" s="51">
        <f>'CZ06 Factors'!D56</f>
        <v>1.615</v>
      </c>
      <c r="BM141" s="61">
        <f>'CZ06 Factors'!E56</f>
        <v>1.3116666666666665</v>
      </c>
      <c r="BN141" s="52">
        <f>'CZ06 Factors'!F56</f>
        <v>1.1599999999999999</v>
      </c>
      <c r="BO141" s="61">
        <f>'CZ06 Factors'!G56</f>
        <v>0.71633333333333327</v>
      </c>
      <c r="BP141" s="52">
        <f>'CZ06 Factors'!H56</f>
        <v>0.49449999999999994</v>
      </c>
      <c r="BQ141" s="61">
        <f>'CZ06 Factors'!I56</f>
        <v>0.89816666666666678</v>
      </c>
      <c r="BR141" s="52">
        <f>'CZ06 Factors'!J56</f>
        <v>1.1000000000000001</v>
      </c>
      <c r="BS141" s="62">
        <f>'CZ06 Factors'!K56</f>
        <v>1.4433333333333334</v>
      </c>
      <c r="BT141" s="24"/>
      <c r="BU141" s="131">
        <v>0</v>
      </c>
      <c r="BV141" s="51">
        <f>'CZ07 Factors'!D58</f>
        <v>1.8720000000000001</v>
      </c>
      <c r="BW141" s="61">
        <f>'CZ07 Factors'!E58</f>
        <v>1.4263333333333335</v>
      </c>
      <c r="BX141" s="52">
        <f>'CZ07 Factors'!F58</f>
        <v>1.2035</v>
      </c>
      <c r="BY141" s="61">
        <f>'CZ07 Factors'!G58</f>
        <v>0.75116666666666654</v>
      </c>
      <c r="BZ141" s="52">
        <f>'CZ07 Factors'!H58</f>
        <v>0.52499999999999991</v>
      </c>
      <c r="CA141" s="61">
        <f>'CZ07 Factors'!I58</f>
        <v>0.92500000000000004</v>
      </c>
      <c r="CB141" s="52">
        <f>'CZ07 Factors'!J58</f>
        <v>1.125</v>
      </c>
      <c r="CC141" s="62">
        <f>'CZ07 Factors'!K58</f>
        <v>1.623</v>
      </c>
      <c r="CD141" s="24"/>
      <c r="CE141" s="131">
        <v>0</v>
      </c>
      <c r="CF141" s="51">
        <f>'CZ08 Factors'!D58</f>
        <v>1.3895999999999999</v>
      </c>
      <c r="CG141" s="61">
        <f>'CZ08 Factors'!E58</f>
        <v>1.2732000000000001</v>
      </c>
      <c r="CH141" s="52">
        <f>'CZ08 Factors'!F58</f>
        <v>1.2150000000000001</v>
      </c>
      <c r="CI141" s="61">
        <f>'CZ08 Factors'!G58</f>
        <v>0.79500000000000015</v>
      </c>
      <c r="CJ141" s="52">
        <f>'CZ08 Factors'!H58</f>
        <v>0.58500000000000008</v>
      </c>
      <c r="CK141" s="61">
        <f>'CZ08 Factors'!I58</f>
        <v>0.89700000000000013</v>
      </c>
      <c r="CL141" s="52">
        <f>'CZ08 Factors'!J58</f>
        <v>1.0530000000000002</v>
      </c>
      <c r="CM141" s="62">
        <f>'CZ08 Factors'!K58</f>
        <v>1.2774000000000001</v>
      </c>
    </row>
    <row r="142" spans="1:91" x14ac:dyDescent="0.25">
      <c r="A142" s="24"/>
      <c r="C142" s="60">
        <v>0.05</v>
      </c>
      <c r="D142" s="89"/>
      <c r="E142" s="90"/>
      <c r="F142" s="91"/>
      <c r="G142" s="90"/>
      <c r="H142" s="91"/>
      <c r="I142" s="90"/>
      <c r="J142" s="91"/>
      <c r="K142" s="92"/>
      <c r="L142" s="24"/>
      <c r="M142" s="60">
        <v>0.05</v>
      </c>
      <c r="N142" s="89">
        <f>'CZ02 Factors'!D59</f>
        <v>1.62</v>
      </c>
      <c r="O142" s="90">
        <f>'CZ02 Factors'!E59</f>
        <v>1.2945231481481483</v>
      </c>
      <c r="P142" s="91">
        <f>'CZ02 Factors'!F59</f>
        <v>1.1200000000000001</v>
      </c>
      <c r="Q142" s="90">
        <f>'CZ02 Factors'!G59</f>
        <v>0.44596666666666668</v>
      </c>
      <c r="R142" s="91">
        <f>'CZ02 Factors'!H59</f>
        <v>0.155</v>
      </c>
      <c r="S142" s="90">
        <f>'CZ02 Factors'!I59</f>
        <v>0.74663414634146341</v>
      </c>
      <c r="T142" s="91">
        <f>'CZ02 Factors'!J59</f>
        <v>1.0920000000000001</v>
      </c>
      <c r="U142" s="92">
        <f>'CZ02 Factors'!K59</f>
        <v>1.4491036036036038</v>
      </c>
      <c r="V142" s="24"/>
      <c r="W142" s="60">
        <v>0.05</v>
      </c>
      <c r="X142" s="89">
        <f>'CZ03 Factors'!D59</f>
        <v>1.9</v>
      </c>
      <c r="Y142" s="90">
        <f>'CZ03 Factors'!E59</f>
        <v>1.2422013422818792</v>
      </c>
      <c r="Z142" s="91">
        <f>'CZ03 Factors'!F59</f>
        <v>0.90200000000000002</v>
      </c>
      <c r="AA142" s="90">
        <f>'CZ03 Factors'!G59</f>
        <v>0.71983333333333344</v>
      </c>
      <c r="AB142" s="91">
        <f>'CZ03 Factors'!H59</f>
        <v>0.66</v>
      </c>
      <c r="AC142" s="90">
        <f>'CZ03 Factors'!I59</f>
        <v>0.94323232323232309</v>
      </c>
      <c r="AD142" s="91">
        <f>'CZ03 Factors'!J59</f>
        <v>1.1830000000000001</v>
      </c>
      <c r="AE142" s="92">
        <f>'CZ03 Factors'!K59</f>
        <v>1.6482905982905982</v>
      </c>
      <c r="AF142" s="24"/>
      <c r="AG142" s="60">
        <v>0.05</v>
      </c>
      <c r="AH142" s="89">
        <f>'CZ04 Factors'!D59</f>
        <v>1.351</v>
      </c>
      <c r="AI142" s="90">
        <f>'CZ04 Factors'!E59</f>
        <v>1.0790176600441501</v>
      </c>
      <c r="AJ142" s="91">
        <f>'CZ04 Factors'!F59</f>
        <v>0.91199999999999992</v>
      </c>
      <c r="AK142" s="90">
        <f>'CZ04 Factors'!G59</f>
        <v>0.59682051282051274</v>
      </c>
      <c r="AL142" s="91">
        <f>'CZ04 Factors'!H59</f>
        <v>0.46399999999999991</v>
      </c>
      <c r="AM142" s="90">
        <f>'CZ04 Factors'!I59</f>
        <v>0.73333333333333339</v>
      </c>
      <c r="AN142" s="91">
        <f>'CZ04 Factors'!J59</f>
        <v>0.94800000000000006</v>
      </c>
      <c r="AO142" s="92">
        <f>'CZ04 Factors'!K59</f>
        <v>1.2099477124183007</v>
      </c>
      <c r="AP142" s="24"/>
      <c r="AQ142" s="60">
        <v>0.05</v>
      </c>
      <c r="AR142" s="89">
        <f>'CZ05 Factors'!D59</f>
        <v>1.56</v>
      </c>
      <c r="AS142" s="90">
        <f>'CZ05 Factors'!E59</f>
        <v>1.1545495495495495</v>
      </c>
      <c r="AT142" s="91">
        <f>'CZ05 Factors'!F59</f>
        <v>0.91</v>
      </c>
      <c r="AU142" s="90">
        <f>'CZ05 Factors'!G59</f>
        <v>0.55366666666666675</v>
      </c>
      <c r="AV142" s="91">
        <f>'CZ05 Factors'!H59</f>
        <v>0.40299999999999997</v>
      </c>
      <c r="AW142" s="90">
        <f>'CZ05 Factors'!I59</f>
        <v>0.80694871794871792</v>
      </c>
      <c r="AX142" s="91">
        <f>'CZ05 Factors'!J59</f>
        <v>1.0920000000000001</v>
      </c>
      <c r="AY142" s="92">
        <f>'CZ05 Factors'!K59</f>
        <v>1.4035991561181433</v>
      </c>
      <c r="AZ142" s="203"/>
      <c r="BA142" s="60">
        <v>0.05</v>
      </c>
      <c r="BB142" s="89">
        <f>'CZ05 BC Factors'!D59</f>
        <v>1.6575</v>
      </c>
      <c r="BC142" s="90">
        <f>'CZ05 BC Factors'!E59</f>
        <v>1.1866914414414413</v>
      </c>
      <c r="BD142" s="91">
        <f>'CZ05 BC Factors'!F59</f>
        <v>0.91</v>
      </c>
      <c r="BE142" s="90">
        <f>'CZ05 BC Factors'!G59</f>
        <v>0.53279487179487173</v>
      </c>
      <c r="BF142" s="91">
        <f>'CZ05 BC Factors'!H59</f>
        <v>0.372</v>
      </c>
      <c r="BG142" s="90">
        <f>'CZ05 BC Factors'!I59</f>
        <v>0.79651282051282057</v>
      </c>
      <c r="BH142" s="91">
        <f>'CZ05 BC Factors'!J59</f>
        <v>1.0920000000000001</v>
      </c>
      <c r="BI142" s="92">
        <f>'CZ05 BC Factors'!K59</f>
        <v>1.4676308016877635</v>
      </c>
      <c r="BJ142" s="24"/>
      <c r="BK142" s="60">
        <v>0.05</v>
      </c>
      <c r="BL142" s="89">
        <f>'CZ06 Factors'!D57</f>
        <v>1.5640000000000003</v>
      </c>
      <c r="BM142" s="90">
        <f>'CZ06 Factors'!E57</f>
        <v>1.2382867132867132</v>
      </c>
      <c r="BN142" s="91">
        <f>'CZ06 Factors'!F57</f>
        <v>1.0585</v>
      </c>
      <c r="BO142" s="90">
        <f>'CZ06 Factors'!G57</f>
        <v>0.60490370370370361</v>
      </c>
      <c r="BP142" s="91">
        <f>'CZ06 Factors'!H57</f>
        <v>0.41399999999999992</v>
      </c>
      <c r="BQ142" s="90">
        <f>'CZ06 Factors'!I57</f>
        <v>0.75845185185185193</v>
      </c>
      <c r="BR142" s="91">
        <f>'CZ06 Factors'!J57</f>
        <v>1.0125000000000002</v>
      </c>
      <c r="BS142" s="92">
        <f>'CZ06 Factors'!K57</f>
        <v>1.3678649237472766</v>
      </c>
      <c r="BT142" s="24"/>
      <c r="BU142" s="60">
        <v>0.05</v>
      </c>
      <c r="BV142" s="89">
        <f>'CZ07 Factors'!D59</f>
        <v>1.8089999999999999</v>
      </c>
      <c r="BW142" s="90">
        <f>'CZ07 Factors'!E59</f>
        <v>1.3650797546012272</v>
      </c>
      <c r="BX142" s="91">
        <f>'CZ07 Factors'!F59</f>
        <v>1.1165</v>
      </c>
      <c r="BY142" s="90">
        <f>'CZ07 Factors'!G59</f>
        <v>0.63256140350877177</v>
      </c>
      <c r="BZ142" s="91">
        <f>'CZ07 Factors'!H59</f>
        <v>0.43499999999999989</v>
      </c>
      <c r="CA142" s="90">
        <f>'CZ07 Factors'!I59</f>
        <v>0.77894736842105261</v>
      </c>
      <c r="CB142" s="91">
        <f>'CZ07 Factors'!J59</f>
        <v>1.0349999999999999</v>
      </c>
      <c r="CC142" s="92">
        <f>'CZ07 Factors'!K59</f>
        <v>1.5580799999999999</v>
      </c>
      <c r="CD142" s="24"/>
      <c r="CE142" s="60">
        <v>0.05</v>
      </c>
      <c r="CF142" s="89">
        <f>'CZ08 Factors'!D59</f>
        <v>1.3464</v>
      </c>
      <c r="CG142" s="90">
        <f>'CZ08 Factors'!E59</f>
        <v>1.212981081081081</v>
      </c>
      <c r="CH142" s="91">
        <f>'CZ08 Factors'!F59</f>
        <v>1.095</v>
      </c>
      <c r="CI142" s="90">
        <f>'CZ08 Factors'!G59</f>
        <v>0.65968085106383001</v>
      </c>
      <c r="CJ142" s="91">
        <f>'CZ08 Factors'!H59</f>
        <v>0.49400000000000005</v>
      </c>
      <c r="CK142" s="90">
        <f>'CZ08 Factors'!I59</f>
        <v>0.74431914893617035</v>
      </c>
      <c r="CL142" s="91">
        <f>'CZ08 Factors'!J59</f>
        <v>0.94900000000000007</v>
      </c>
      <c r="CM142" s="92">
        <f>'CZ08 Factors'!K59</f>
        <v>1.216154794520548</v>
      </c>
    </row>
    <row r="143" spans="1:91" x14ac:dyDescent="0.25">
      <c r="A143" s="24"/>
      <c r="C143" s="60">
        <v>0.1</v>
      </c>
      <c r="D143" s="89"/>
      <c r="E143" s="90"/>
      <c r="F143" s="91"/>
      <c r="G143" s="90"/>
      <c r="H143" s="91"/>
      <c r="I143" s="90"/>
      <c r="J143" s="91"/>
      <c r="K143" s="92"/>
      <c r="L143" s="24"/>
      <c r="M143" s="60">
        <v>0.1</v>
      </c>
      <c r="N143" s="89">
        <f>'CZ02 Factors'!D60</f>
        <v>1.5570000000000002</v>
      </c>
      <c r="O143" s="90">
        <f>'CZ02 Factors'!E60</f>
        <v>1.256726851851852</v>
      </c>
      <c r="P143" s="91">
        <f>'CZ02 Factors'!F60</f>
        <v>1.0640000000000001</v>
      </c>
      <c r="Q143" s="90">
        <f>'CZ02 Factors'!G60</f>
        <v>0.41973333333333335</v>
      </c>
      <c r="R143" s="91">
        <f>'CZ02 Factors'!H60</f>
        <v>0.14499999999999999</v>
      </c>
      <c r="S143" s="90">
        <f>'CZ02 Factors'!I60</f>
        <v>0.70515447154471556</v>
      </c>
      <c r="T143" s="91">
        <f>'CZ02 Factors'!J60</f>
        <v>1.0530000000000002</v>
      </c>
      <c r="U143" s="92">
        <f>'CZ02 Factors'!K60</f>
        <v>1.3674639639639643</v>
      </c>
      <c r="V143" s="24"/>
      <c r="W143" s="60">
        <v>0.1</v>
      </c>
      <c r="X143" s="89">
        <f>'CZ03 Factors'!D60</f>
        <v>1.76</v>
      </c>
      <c r="Y143" s="90">
        <f>'CZ03 Factors'!E60</f>
        <v>1.1818165548098436</v>
      </c>
      <c r="Z143" s="91">
        <f>'CZ03 Factors'!F60</f>
        <v>0.8580000000000001</v>
      </c>
      <c r="AA143" s="90">
        <f>'CZ03 Factors'!G60</f>
        <v>0.69412499999999999</v>
      </c>
      <c r="AB143" s="91">
        <f>'CZ03 Factors'!H60</f>
        <v>0.63</v>
      </c>
      <c r="AC143" s="90">
        <f>'CZ03 Factors'!I60</f>
        <v>0.91070707070707069</v>
      </c>
      <c r="AD143" s="91">
        <f>'CZ03 Factors'!J60</f>
        <v>1.131</v>
      </c>
      <c r="AE143" s="92">
        <f>'CZ03 Factors'!K60</f>
        <v>1.5615384615384613</v>
      </c>
      <c r="AF143" s="24"/>
      <c r="AG143" s="60">
        <v>0.1</v>
      </c>
      <c r="AH143" s="89">
        <f>'CZ04 Factors'!D60</f>
        <v>1.337</v>
      </c>
      <c r="AI143" s="90">
        <f>'CZ04 Factors'!E60</f>
        <v>1.0418101545253862</v>
      </c>
      <c r="AJ143" s="91">
        <f>'CZ04 Factors'!F60</f>
        <v>0.8879999999999999</v>
      </c>
      <c r="AK143" s="90">
        <f>'CZ04 Factors'!G60</f>
        <v>0.5606495726495726</v>
      </c>
      <c r="AL143" s="91">
        <f>'CZ04 Factors'!H60</f>
        <v>0.44800000000000006</v>
      </c>
      <c r="AM143" s="90">
        <f>'CZ04 Factors'!I60</f>
        <v>0.68888888888888888</v>
      </c>
      <c r="AN143" s="91">
        <f>'CZ04 Factors'!J60</f>
        <v>0.9</v>
      </c>
      <c r="AO143" s="92">
        <f>'CZ04 Factors'!K60</f>
        <v>1.1687930283224401</v>
      </c>
      <c r="AP143" s="24"/>
      <c r="AQ143" s="60">
        <v>0.1</v>
      </c>
      <c r="AR143" s="89">
        <f>'CZ05 Factors'!D60</f>
        <v>1.56</v>
      </c>
      <c r="AS143" s="90">
        <f>'CZ05 Factors'!E60</f>
        <v>1.1057657657657658</v>
      </c>
      <c r="AT143" s="91">
        <f>'CZ05 Factors'!F60</f>
        <v>0.85800000000000021</v>
      </c>
      <c r="AU143" s="90">
        <f>'CZ05 Factors'!G60</f>
        <v>0.52011111111111119</v>
      </c>
      <c r="AV143" s="91">
        <f>'CZ05 Factors'!H60</f>
        <v>0.38999999999999996</v>
      </c>
      <c r="AW143" s="90">
        <f>'CZ05 Factors'!I60</f>
        <v>0.78249572649572652</v>
      </c>
      <c r="AX143" s="91">
        <f>'CZ05 Factors'!J60</f>
        <v>1.0499999999999998</v>
      </c>
      <c r="AY143" s="92">
        <f>'CZ05 Factors'!K60</f>
        <v>1.3664177215189872</v>
      </c>
      <c r="AZ143" s="203"/>
      <c r="BA143" s="60">
        <v>0.1</v>
      </c>
      <c r="BB143" s="89">
        <f>'CZ05 BC Factors'!D60</f>
        <v>1.6575</v>
      </c>
      <c r="BC143" s="90">
        <f>'CZ05 BC Factors'!E60</f>
        <v>1.1365495495495495</v>
      </c>
      <c r="BD143" s="91">
        <f>'CZ05 BC Factors'!F60</f>
        <v>0.85800000000000021</v>
      </c>
      <c r="BE143" s="90">
        <f>'CZ05 BC Factors'!G60</f>
        <v>0.5005042735042734</v>
      </c>
      <c r="BF143" s="91">
        <f>'CZ05 BC Factors'!H60</f>
        <v>0.36</v>
      </c>
      <c r="BG143" s="90">
        <f>'CZ05 BC Factors'!I60</f>
        <v>0.77237606837606831</v>
      </c>
      <c r="BH143" s="91">
        <f>'CZ05 BC Factors'!J60</f>
        <v>1.0499999999999998</v>
      </c>
      <c r="BI143" s="92">
        <f>'CZ05 BC Factors'!K60</f>
        <v>1.4287531645569618</v>
      </c>
      <c r="BJ143" s="24"/>
      <c r="BK143" s="60">
        <v>0.1</v>
      </c>
      <c r="BL143" s="89">
        <f>'CZ06 Factors'!D58</f>
        <v>1.5470000000000002</v>
      </c>
      <c r="BM143" s="90">
        <f>'CZ06 Factors'!E58</f>
        <v>1.1924242424242424</v>
      </c>
      <c r="BN143" s="91">
        <f>'CZ06 Factors'!F58</f>
        <v>1.0149999999999999</v>
      </c>
      <c r="BO143" s="90">
        <f>'CZ06 Factors'!G58</f>
        <v>0.57306666666666661</v>
      </c>
      <c r="BP143" s="91">
        <f>'CZ06 Factors'!H58</f>
        <v>0.39100000000000001</v>
      </c>
      <c r="BQ143" s="90">
        <f>'CZ06 Factors'!I58</f>
        <v>0.71853333333333336</v>
      </c>
      <c r="BR143" s="91">
        <f>'CZ06 Factors'!J58</f>
        <v>0.95000000000000007</v>
      </c>
      <c r="BS143" s="92">
        <f>'CZ06 Factors'!K58</f>
        <v>1.3395642701525055</v>
      </c>
      <c r="BT143" s="24"/>
      <c r="BU143" s="60">
        <v>0.1</v>
      </c>
      <c r="BV143" s="89">
        <f>'CZ07 Factors'!D60</f>
        <v>1.8089999999999999</v>
      </c>
      <c r="BW143" s="90">
        <f>'CZ07 Factors'!E60</f>
        <v>1.338828220858896</v>
      </c>
      <c r="BX143" s="91">
        <f>'CZ07 Factors'!F60</f>
        <v>1.0585</v>
      </c>
      <c r="BY143" s="90">
        <f>'CZ07 Factors'!G60</f>
        <v>0.59302631578947362</v>
      </c>
      <c r="BZ143" s="91">
        <f>'CZ07 Factors'!H60</f>
        <v>0.42</v>
      </c>
      <c r="CA143" s="90">
        <f>'CZ07 Factors'!I60</f>
        <v>0.73026315789473684</v>
      </c>
      <c r="CB143" s="91">
        <f>'CZ07 Factors'!J60</f>
        <v>0.99</v>
      </c>
      <c r="CC143" s="92">
        <f>'CZ07 Factors'!K60</f>
        <v>1.52562</v>
      </c>
      <c r="CD143" s="24"/>
      <c r="CE143" s="60">
        <v>0.1</v>
      </c>
      <c r="CF143" s="89">
        <f>'CZ08 Factors'!D60</f>
        <v>1.3320000000000001</v>
      </c>
      <c r="CG143" s="90">
        <f>'CZ08 Factors'!E60</f>
        <v>1.1699675675675678</v>
      </c>
      <c r="CH143" s="91">
        <f>'CZ08 Factors'!F60</f>
        <v>1.0499999999999998</v>
      </c>
      <c r="CI143" s="90">
        <f>'CZ08 Factors'!G60</f>
        <v>0.62585106382978739</v>
      </c>
      <c r="CJ143" s="91">
        <f>'CZ08 Factors'!H60</f>
        <v>0.45500000000000002</v>
      </c>
      <c r="CK143" s="90">
        <f>'CZ08 Factors'!I60</f>
        <v>0.7061489361702129</v>
      </c>
      <c r="CL143" s="91">
        <f>'CZ08 Factors'!J60</f>
        <v>0.90999999999999992</v>
      </c>
      <c r="CM143" s="92">
        <f>'CZ08 Factors'!K60</f>
        <v>1.1724082191780825</v>
      </c>
    </row>
    <row r="144" spans="1:91" x14ac:dyDescent="0.25">
      <c r="A144" s="24"/>
      <c r="C144" s="60">
        <v>0.2</v>
      </c>
      <c r="D144" s="89"/>
      <c r="E144" s="90"/>
      <c r="F144" s="91"/>
      <c r="G144" s="90"/>
      <c r="H144" s="91"/>
      <c r="I144" s="90"/>
      <c r="J144" s="91"/>
      <c r="K144" s="92"/>
      <c r="L144" s="24"/>
      <c r="M144" s="60">
        <v>0.2</v>
      </c>
      <c r="N144" s="89">
        <f>'CZ02 Factors'!D61</f>
        <v>1.359</v>
      </c>
      <c r="O144" s="90">
        <f>'CZ02 Factors'!E61</f>
        <v>1.1149907407407407</v>
      </c>
      <c r="P144" s="91">
        <f>'CZ02 Factors'!F61</f>
        <v>0.95200000000000007</v>
      </c>
      <c r="Q144" s="90">
        <f>'CZ02 Factors'!G61</f>
        <v>0.3803833333333333</v>
      </c>
      <c r="R144" s="91">
        <f>'CZ02 Factors'!H61</f>
        <v>0.13500000000000001</v>
      </c>
      <c r="S144" s="90">
        <f>'CZ02 Factors'!I61</f>
        <v>0.62219512195121951</v>
      </c>
      <c r="T144" s="91">
        <f>'CZ02 Factors'!J61</f>
        <v>0.94899999999999995</v>
      </c>
      <c r="U144" s="92">
        <f>'CZ02 Factors'!K61</f>
        <v>1.2245945945945946</v>
      </c>
      <c r="V144" s="24"/>
      <c r="W144" s="60">
        <v>0.2</v>
      </c>
      <c r="X144" s="89">
        <f>'CZ03 Factors'!D61</f>
        <v>1.57</v>
      </c>
      <c r="Y144" s="90">
        <f>'CZ03 Factors'!E61</f>
        <v>1.052420581655481</v>
      </c>
      <c r="Z144" s="91">
        <f>'CZ03 Factors'!F61</f>
        <v>0.77</v>
      </c>
      <c r="AA144" s="90">
        <f>'CZ03 Factors'!G61</f>
        <v>0.61699999999999999</v>
      </c>
      <c r="AB144" s="91">
        <f>'CZ03 Factors'!H61</f>
        <v>0.60000000000000009</v>
      </c>
      <c r="AC144" s="90">
        <f>'CZ03 Factors'!I61</f>
        <v>0.81313131313131304</v>
      </c>
      <c r="AD144" s="91">
        <f>'CZ03 Factors'!J61</f>
        <v>1.014</v>
      </c>
      <c r="AE144" s="92">
        <f>'CZ03 Factors'!K61</f>
        <v>1.4097222222222223</v>
      </c>
      <c r="AF144" s="24"/>
      <c r="AG144" s="60">
        <v>0.2</v>
      </c>
      <c r="AH144" s="89">
        <f>'CZ04 Factors'!D61</f>
        <v>1.1340000000000001</v>
      </c>
      <c r="AI144" s="90">
        <f>'CZ04 Factors'!E61</f>
        <v>0.95251214128035311</v>
      </c>
      <c r="AJ144" s="91">
        <f>'CZ04 Factors'!F61</f>
        <v>0.80399999999999994</v>
      </c>
      <c r="AK144" s="90">
        <f>'CZ04 Factors'!G61</f>
        <v>0.50639316239316234</v>
      </c>
      <c r="AL144" s="91">
        <f>'CZ04 Factors'!H61</f>
        <v>0.39999999999999997</v>
      </c>
      <c r="AM144" s="90">
        <f>'CZ04 Factors'!I61</f>
        <v>0.62222222222222223</v>
      </c>
      <c r="AN144" s="91">
        <f>'CZ04 Factors'!J61</f>
        <v>0.81600000000000006</v>
      </c>
      <c r="AO144" s="92">
        <f>'CZ04 Factors'!K61</f>
        <v>1.0535599128540305</v>
      </c>
      <c r="AP144" s="24"/>
      <c r="AQ144" s="60">
        <v>0.2</v>
      </c>
      <c r="AR144" s="89">
        <f>'CZ05 Factors'!D61</f>
        <v>1.304</v>
      </c>
      <c r="AS144" s="90">
        <f>'CZ05 Factors'!E61</f>
        <v>0.98380630630630628</v>
      </c>
      <c r="AT144" s="91">
        <f>'CZ05 Factors'!F61</f>
        <v>0.76700000000000002</v>
      </c>
      <c r="AU144" s="90">
        <f>'CZ05 Factors'!G61</f>
        <v>0.46977777777777785</v>
      </c>
      <c r="AV144" s="91">
        <f>'CZ05 Factors'!H61</f>
        <v>0.35100000000000003</v>
      </c>
      <c r="AW144" s="90">
        <f>'CZ05 Factors'!I61</f>
        <v>0.68468376068376069</v>
      </c>
      <c r="AX144" s="91">
        <f>'CZ05 Factors'!J61</f>
        <v>0.93800000000000006</v>
      </c>
      <c r="AY144" s="92">
        <f>'CZ05 Factors'!K61</f>
        <v>1.2269873417721517</v>
      </c>
      <c r="AZ144" s="203"/>
      <c r="BA144" s="60">
        <v>0.2</v>
      </c>
      <c r="BB144" s="89">
        <f>'CZ05 BC Factors'!D61</f>
        <v>1.3855</v>
      </c>
      <c r="BC144" s="90">
        <f>'CZ05 BC Factors'!E61</f>
        <v>1.0111948198198197</v>
      </c>
      <c r="BD144" s="91">
        <f>'CZ05 BC Factors'!F61</f>
        <v>0.76700000000000002</v>
      </c>
      <c r="BE144" s="90">
        <f>'CZ05 BC Factors'!G61</f>
        <v>0.45206837606837602</v>
      </c>
      <c r="BF144" s="91">
        <f>'CZ05 BC Factors'!H61</f>
        <v>0.32400000000000007</v>
      </c>
      <c r="BG144" s="90">
        <f>'CZ05 BC Factors'!I61</f>
        <v>0.67582905982905983</v>
      </c>
      <c r="BH144" s="91">
        <f>'CZ05 BC Factors'!J61</f>
        <v>0.93800000000000006</v>
      </c>
      <c r="BI144" s="92">
        <f>'CZ05 BC Factors'!K61</f>
        <v>1.2829620253164555</v>
      </c>
      <c r="BJ144" s="24"/>
      <c r="BK144" s="60">
        <v>0.2</v>
      </c>
      <c r="BL144" s="89">
        <f>'CZ06 Factors'!D59</f>
        <v>1.3260000000000001</v>
      </c>
      <c r="BM144" s="90">
        <f>'CZ06 Factors'!E59</f>
        <v>1.073181818181818</v>
      </c>
      <c r="BN144" s="91">
        <f>'CZ06 Factors'!F59</f>
        <v>0.8989999999999998</v>
      </c>
      <c r="BO144" s="90">
        <f>'CZ06 Factors'!G59</f>
        <v>0.50939259259259262</v>
      </c>
      <c r="BP144" s="91">
        <f>'CZ06 Factors'!H59</f>
        <v>0.34499999999999997</v>
      </c>
      <c r="BQ144" s="90">
        <f>'CZ06 Factors'!I59</f>
        <v>0.63869629629629643</v>
      </c>
      <c r="BR144" s="91">
        <f>'CZ06 Factors'!J59</f>
        <v>0.875</v>
      </c>
      <c r="BS144" s="92">
        <f>'CZ06 Factors'!K59</f>
        <v>1.2263616557734205</v>
      </c>
      <c r="BT144" s="24"/>
      <c r="BU144" s="60">
        <v>0.2</v>
      </c>
      <c r="BV144" s="89">
        <f>'CZ07 Factors'!D61</f>
        <v>1.7009999999999998</v>
      </c>
      <c r="BW144" s="90">
        <f>'CZ07 Factors'!E61</f>
        <v>1.2513231083844583</v>
      </c>
      <c r="BX144" s="91">
        <f>'CZ07 Factors'!F61</f>
        <v>0.9860000000000001</v>
      </c>
      <c r="BY144" s="90">
        <f>'CZ07 Factors'!G61</f>
        <v>0.53372368421052618</v>
      </c>
      <c r="BZ144" s="91">
        <f>'CZ07 Factors'!H61</f>
        <v>0.37499999999999994</v>
      </c>
      <c r="CA144" s="90">
        <f>'CZ07 Factors'!I61</f>
        <v>0.65723684210526323</v>
      </c>
      <c r="CB144" s="91">
        <f>'CZ07 Factors'!J61</f>
        <v>0.89999999999999991</v>
      </c>
      <c r="CC144" s="92">
        <f>'CZ07 Factors'!K61</f>
        <v>1.3849600000000002</v>
      </c>
      <c r="CD144" s="24"/>
      <c r="CE144" s="60">
        <v>0.2</v>
      </c>
      <c r="CF144" s="89">
        <f>'CZ08 Factors'!D61</f>
        <v>1.1232000000000002</v>
      </c>
      <c r="CG144" s="90">
        <f>'CZ08 Factors'!E61</f>
        <v>1.0495297297297299</v>
      </c>
      <c r="CH144" s="91">
        <f>'CZ08 Factors'!F61</f>
        <v>0.94499999999999995</v>
      </c>
      <c r="CI144" s="90">
        <f>'CZ08 Factors'!G61</f>
        <v>0.55819148936170238</v>
      </c>
      <c r="CJ144" s="91">
        <f>'CZ08 Factors'!H61</f>
        <v>0.41600000000000009</v>
      </c>
      <c r="CK144" s="90">
        <f>'CZ08 Factors'!I61</f>
        <v>0.62980851063829812</v>
      </c>
      <c r="CL144" s="91">
        <f>'CZ08 Factors'!J61</f>
        <v>0.81900000000000006</v>
      </c>
      <c r="CM144" s="92">
        <f>'CZ08 Factors'!K61</f>
        <v>1.049917808219178</v>
      </c>
    </row>
    <row r="145" spans="1:91" x14ac:dyDescent="0.25">
      <c r="A145" s="24"/>
      <c r="C145" s="60">
        <v>0.4</v>
      </c>
      <c r="D145" s="89"/>
      <c r="E145" s="90"/>
      <c r="F145" s="91"/>
      <c r="G145" s="90"/>
      <c r="H145" s="91"/>
      <c r="I145" s="90"/>
      <c r="J145" s="91"/>
      <c r="K145" s="92"/>
      <c r="L145" s="24"/>
      <c r="M145" s="60">
        <v>0.4</v>
      </c>
      <c r="N145" s="89">
        <f>'CZ02 Factors'!D62</f>
        <v>1.125</v>
      </c>
      <c r="O145" s="90">
        <f>'CZ02 Factors'!E62</f>
        <v>0.89766203703703706</v>
      </c>
      <c r="P145" s="91">
        <f>'CZ02 Factors'!F62</f>
        <v>0.75600000000000001</v>
      </c>
      <c r="Q145" s="90">
        <f>'CZ02 Factors'!G62</f>
        <v>0.31480000000000002</v>
      </c>
      <c r="R145" s="91">
        <f>'CZ02 Factors'!H62</f>
        <v>0.11499999999999999</v>
      </c>
      <c r="S145" s="90">
        <f>'CZ02 Factors'!I62</f>
        <v>0.51849593495934965</v>
      </c>
      <c r="T145" s="91">
        <f>'CZ02 Factors'!J62</f>
        <v>0.79299999999999993</v>
      </c>
      <c r="U145" s="92">
        <f>'CZ02 Factors'!K62</f>
        <v>1.0102905405405407</v>
      </c>
      <c r="V145" s="24"/>
      <c r="W145" s="60">
        <v>0.4</v>
      </c>
      <c r="X145" s="89">
        <f>'CZ03 Factors'!D62</f>
        <v>1.25</v>
      </c>
      <c r="Y145" s="90">
        <f>'CZ03 Factors'!E62</f>
        <v>0.86263982102908288</v>
      </c>
      <c r="Z145" s="91">
        <f>'CZ03 Factors'!F62</f>
        <v>0.66</v>
      </c>
      <c r="AA145" s="90">
        <f>'CZ03 Factors'!G62</f>
        <v>0.51416666666666666</v>
      </c>
      <c r="AB145" s="91">
        <f>'CZ03 Factors'!H62</f>
        <v>0.54</v>
      </c>
      <c r="AC145" s="90">
        <f>'CZ03 Factors'!I62</f>
        <v>0.68303030303030299</v>
      </c>
      <c r="AD145" s="91">
        <f>'CZ03 Factors'!J62</f>
        <v>0.871</v>
      </c>
      <c r="AE145" s="92">
        <f>'CZ03 Factors'!K62</f>
        <v>1.1711538461538462</v>
      </c>
      <c r="AF145" s="24"/>
      <c r="AG145" s="60">
        <v>0.4</v>
      </c>
      <c r="AH145" s="89">
        <f>'CZ04 Factors'!D62</f>
        <v>1.036</v>
      </c>
      <c r="AI145" s="90">
        <f>'CZ04 Factors'!E62</f>
        <v>0.81112362030905072</v>
      </c>
      <c r="AJ145" s="91">
        <f>'CZ04 Factors'!F62</f>
        <v>0.67199999999999993</v>
      </c>
      <c r="AK145" s="90">
        <f>'CZ04 Factors'!G62</f>
        <v>0.43405128205128196</v>
      </c>
      <c r="AL145" s="91">
        <f>'CZ04 Factors'!H62</f>
        <v>0.35200000000000004</v>
      </c>
      <c r="AM145" s="90">
        <f>'CZ04 Factors'!I62</f>
        <v>0.53333333333333333</v>
      </c>
      <c r="AN145" s="91">
        <f>'CZ04 Factors'!J62</f>
        <v>0.69600000000000006</v>
      </c>
      <c r="AO145" s="92">
        <f>'CZ04 Factors'!K62</f>
        <v>0.90540305010893252</v>
      </c>
      <c r="AP145" s="24"/>
      <c r="AQ145" s="60">
        <v>0.4</v>
      </c>
      <c r="AR145" s="89">
        <f>'CZ05 Factors'!D62</f>
        <v>1.1919999999999999</v>
      </c>
      <c r="AS145" s="90">
        <f>'CZ05 Factors'!E62</f>
        <v>0.81306306306306309</v>
      </c>
      <c r="AT145" s="91">
        <f>'CZ05 Factors'!F62</f>
        <v>0.63700000000000001</v>
      </c>
      <c r="AU145" s="90">
        <f>'CZ05 Factors'!G62</f>
        <v>0.40266666666666667</v>
      </c>
      <c r="AV145" s="91">
        <f>'CZ05 Factors'!H62</f>
        <v>0.29899999999999999</v>
      </c>
      <c r="AW145" s="90">
        <f>'CZ05 Factors'!I62</f>
        <v>0.58687179487179475</v>
      </c>
      <c r="AX145" s="91">
        <f>'CZ05 Factors'!J62</f>
        <v>0.77</v>
      </c>
      <c r="AY145" s="92">
        <f>'CZ05 Factors'!K62</f>
        <v>1.0224894514767933</v>
      </c>
      <c r="AZ145" s="203"/>
      <c r="BA145" s="60">
        <v>0.4</v>
      </c>
      <c r="BB145" s="89">
        <f>'CZ05 BC Factors'!D62</f>
        <v>1.2665</v>
      </c>
      <c r="BC145" s="90">
        <f>'CZ05 BC Factors'!E62</f>
        <v>0.83569819819819813</v>
      </c>
      <c r="BD145" s="91">
        <f>'CZ05 BC Factors'!F62</f>
        <v>0.63700000000000001</v>
      </c>
      <c r="BE145" s="90">
        <f>'CZ05 BC Factors'!G62</f>
        <v>0.38748717948717942</v>
      </c>
      <c r="BF145" s="91">
        <f>'CZ05 BC Factors'!H62</f>
        <v>0.27599999999999997</v>
      </c>
      <c r="BG145" s="90">
        <f>'CZ05 BC Factors'!I62</f>
        <v>0.57928205128205124</v>
      </c>
      <c r="BH145" s="91">
        <f>'CZ05 BC Factors'!J62</f>
        <v>0.77</v>
      </c>
      <c r="BI145" s="92">
        <f>'CZ05 BC Factors'!K62</f>
        <v>1.0691350210970463</v>
      </c>
      <c r="BJ145" s="24"/>
      <c r="BK145" s="60">
        <v>0.4</v>
      </c>
      <c r="BL145" s="89">
        <f>'CZ06 Factors'!D60</f>
        <v>1.2155</v>
      </c>
      <c r="BM145" s="90">
        <f>'CZ06 Factors'!E60</f>
        <v>0.92642191142191144</v>
      </c>
      <c r="BN145" s="91">
        <f>'CZ06 Factors'!F60</f>
        <v>0.76849999999999996</v>
      </c>
      <c r="BO145" s="90">
        <f>'CZ06 Factors'!G60</f>
        <v>0.42979999999999996</v>
      </c>
      <c r="BP145" s="91">
        <f>'CZ06 Factors'!H60</f>
        <v>0.29899999999999999</v>
      </c>
      <c r="BQ145" s="90">
        <f>'CZ06 Factors'!I60</f>
        <v>0.53890000000000005</v>
      </c>
      <c r="BR145" s="91">
        <f>'CZ06 Factors'!J60</f>
        <v>0.75</v>
      </c>
      <c r="BS145" s="92">
        <f>'CZ06 Factors'!K60</f>
        <v>1.0376906318082788</v>
      </c>
      <c r="BT145" s="24"/>
      <c r="BU145" s="60">
        <v>0.4</v>
      </c>
      <c r="BV145" s="89">
        <f>'CZ07 Factors'!D62</f>
        <v>1.4580000000000002</v>
      </c>
      <c r="BW145" s="90">
        <f>'CZ07 Factors'!E62</f>
        <v>1.0850633946830268</v>
      </c>
      <c r="BX145" s="91">
        <f>'CZ07 Factors'!F62</f>
        <v>0.84100000000000008</v>
      </c>
      <c r="BY145" s="90">
        <f>'CZ07 Factors'!G62</f>
        <v>0.45465350877192973</v>
      </c>
      <c r="BZ145" s="91">
        <f>'CZ07 Factors'!H62</f>
        <v>0.31499999999999995</v>
      </c>
      <c r="CA145" s="90">
        <f>'CZ07 Factors'!I62</f>
        <v>0.55986842105263157</v>
      </c>
      <c r="CB145" s="91">
        <f>'CZ07 Factors'!J62</f>
        <v>0.75</v>
      </c>
      <c r="CC145" s="92">
        <f>'CZ07 Factors'!K62</f>
        <v>1.2226599999999999</v>
      </c>
      <c r="CD145" s="24"/>
      <c r="CE145" s="60">
        <v>0.4</v>
      </c>
      <c r="CF145" s="89">
        <f>'CZ08 Factors'!D62</f>
        <v>1.0151999999999999</v>
      </c>
      <c r="CG145" s="90">
        <f>'CZ08 Factors'!E62</f>
        <v>0.87747567567567586</v>
      </c>
      <c r="CH145" s="91">
        <f>'CZ08 Factors'!F62</f>
        <v>0.76500000000000012</v>
      </c>
      <c r="CI145" s="90">
        <f>'CZ08 Factors'!G62</f>
        <v>0.47361702127659588</v>
      </c>
      <c r="CJ145" s="91">
        <f>'CZ08 Factors'!H62</f>
        <v>0.35100000000000003</v>
      </c>
      <c r="CK145" s="90">
        <f>'CZ08 Factors'!I62</f>
        <v>0.53438297872340446</v>
      </c>
      <c r="CL145" s="91">
        <f>'CZ08 Factors'!J62</f>
        <v>0.66300000000000014</v>
      </c>
      <c r="CM145" s="92">
        <f>'CZ08 Factors'!K62</f>
        <v>0.86618219178082201</v>
      </c>
    </row>
    <row r="146" spans="1:91" x14ac:dyDescent="0.25">
      <c r="A146" s="24"/>
      <c r="C146" s="60">
        <v>0.6</v>
      </c>
      <c r="D146" s="89"/>
      <c r="E146" s="90"/>
      <c r="F146" s="91"/>
      <c r="G146" s="90"/>
      <c r="H146" s="91"/>
      <c r="I146" s="90"/>
      <c r="J146" s="91"/>
      <c r="K146" s="92"/>
      <c r="L146" s="24"/>
      <c r="M146" s="60">
        <v>0.6</v>
      </c>
      <c r="N146" s="89">
        <f>'CZ02 Factors'!D63</f>
        <v>0.93599999999999994</v>
      </c>
      <c r="O146" s="90">
        <f>'CZ02 Factors'!E63</f>
        <v>0.73702777777777784</v>
      </c>
      <c r="P146" s="91">
        <f>'CZ02 Factors'!F63</f>
        <v>0.67199999999999993</v>
      </c>
      <c r="Q146" s="90">
        <f>'CZ02 Factors'!G63</f>
        <v>0.27544999999999997</v>
      </c>
      <c r="R146" s="91">
        <f>'CZ02 Factors'!H63</f>
        <v>0.1</v>
      </c>
      <c r="S146" s="90">
        <f>'CZ02 Factors'!I63</f>
        <v>0.4562764227642277</v>
      </c>
      <c r="T146" s="91">
        <f>'CZ02 Factors'!J63</f>
        <v>0.66300000000000003</v>
      </c>
      <c r="U146" s="92">
        <f>'CZ02 Factors'!K63</f>
        <v>0.84701126126126125</v>
      </c>
      <c r="V146" s="24"/>
      <c r="W146" s="60">
        <v>0.6</v>
      </c>
      <c r="X146" s="89">
        <f>'CZ03 Factors'!D63</f>
        <v>0.94</v>
      </c>
      <c r="Y146" s="90">
        <f>'CZ03 Factors'!E63</f>
        <v>0.66423266219239385</v>
      </c>
      <c r="Z146" s="91">
        <f>'CZ03 Factors'!F63</f>
        <v>0.52800000000000002</v>
      </c>
      <c r="AA146" s="90">
        <f>'CZ03 Factors'!G63</f>
        <v>0.46274999999999999</v>
      </c>
      <c r="AB146" s="91">
        <f>'CZ03 Factors'!H63</f>
        <v>0.51</v>
      </c>
      <c r="AC146" s="90">
        <f>'CZ03 Factors'!I63</f>
        <v>0.58545454545454534</v>
      </c>
      <c r="AD146" s="91">
        <f>'CZ03 Factors'!J63</f>
        <v>0.70200000000000007</v>
      </c>
      <c r="AE146" s="92">
        <f>'CZ03 Factors'!K63</f>
        <v>0.94342948717948716</v>
      </c>
      <c r="AF146" s="24"/>
      <c r="AG146" s="60">
        <v>0.6</v>
      </c>
      <c r="AH146" s="89">
        <f>'CZ04 Factors'!D63</f>
        <v>0.85399999999999998</v>
      </c>
      <c r="AI146" s="90">
        <f>'CZ04 Factors'!E63</f>
        <v>0.66973509933774833</v>
      </c>
      <c r="AJ146" s="91">
        <f>'CZ04 Factors'!F63</f>
        <v>0.58799999999999997</v>
      </c>
      <c r="AK146" s="90">
        <f>'CZ04 Factors'!G63</f>
        <v>0.37979487179487176</v>
      </c>
      <c r="AL146" s="91">
        <f>'CZ04 Factors'!H63</f>
        <v>0.30399999999999999</v>
      </c>
      <c r="AM146" s="90">
        <f>'CZ04 Factors'!I63</f>
        <v>0.46666666666666667</v>
      </c>
      <c r="AN146" s="91">
        <f>'CZ04 Factors'!J63</f>
        <v>0.58799999999999997</v>
      </c>
      <c r="AO146" s="92">
        <f>'CZ04 Factors'!K63</f>
        <v>0.74078431372549025</v>
      </c>
      <c r="AP146" s="24"/>
      <c r="AQ146" s="60">
        <v>0.6</v>
      </c>
      <c r="AR146" s="89">
        <f>'CZ05 Factors'!D63</f>
        <v>0.96799999999999997</v>
      </c>
      <c r="AS146" s="90">
        <f>'CZ05 Factors'!E63</f>
        <v>0.67484234234234231</v>
      </c>
      <c r="AT146" s="91">
        <f>'CZ05 Factors'!F63</f>
        <v>0.52000000000000013</v>
      </c>
      <c r="AU146" s="90">
        <f>'CZ05 Factors'!G63</f>
        <v>0.35233333333333339</v>
      </c>
      <c r="AV146" s="91">
        <f>'CZ05 Factors'!H63</f>
        <v>0.27299999999999996</v>
      </c>
      <c r="AW146" s="90">
        <f>'CZ05 Factors'!I63</f>
        <v>0.51351282051282043</v>
      </c>
      <c r="AX146" s="91">
        <f>'CZ05 Factors'!J63</f>
        <v>0.65800000000000003</v>
      </c>
      <c r="AY146" s="92">
        <f>'CZ05 Factors'!K63</f>
        <v>0.83658227848101263</v>
      </c>
      <c r="AZ146" s="203"/>
      <c r="BA146" s="60">
        <v>0.6</v>
      </c>
      <c r="BB146" s="89">
        <f>'CZ05 BC Factors'!D63</f>
        <v>1.0285</v>
      </c>
      <c r="BC146" s="90">
        <f>'CZ05 BC Factors'!E63</f>
        <v>0.69362950450450434</v>
      </c>
      <c r="BD146" s="91">
        <f>'CZ05 BC Factors'!F63</f>
        <v>0.52000000000000013</v>
      </c>
      <c r="BE146" s="90">
        <f>'CZ05 BC Factors'!G63</f>
        <v>0.33905128205128199</v>
      </c>
      <c r="BF146" s="91">
        <f>'CZ05 BC Factors'!H63</f>
        <v>0.252</v>
      </c>
      <c r="BG146" s="90">
        <f>'CZ05 BC Factors'!I63</f>
        <v>0.5068717948717949</v>
      </c>
      <c r="BH146" s="91">
        <f>'CZ05 BC Factors'!J63</f>
        <v>0.65800000000000003</v>
      </c>
      <c r="BI146" s="92">
        <f>'CZ05 BC Factors'!K63</f>
        <v>0.874746835443038</v>
      </c>
      <c r="BJ146" s="24"/>
      <c r="BK146" s="60">
        <v>0.6</v>
      </c>
      <c r="BL146" s="89">
        <f>'CZ06 Factors'!D61</f>
        <v>1.0369999999999999</v>
      </c>
      <c r="BM146" s="90">
        <f>'CZ06 Factors'!E61</f>
        <v>0.78883449883449885</v>
      </c>
      <c r="BN146" s="91">
        <f>'CZ06 Factors'!F61</f>
        <v>0.65249999999999997</v>
      </c>
      <c r="BO146" s="90">
        <f>'CZ06 Factors'!G61</f>
        <v>0.36612592592592585</v>
      </c>
      <c r="BP146" s="91">
        <f>'CZ06 Factors'!H61</f>
        <v>0.26450000000000001</v>
      </c>
      <c r="BQ146" s="90">
        <f>'CZ06 Factors'!I61</f>
        <v>0.45906296296296301</v>
      </c>
      <c r="BR146" s="91">
        <f>'CZ06 Factors'!J61</f>
        <v>0.65000000000000013</v>
      </c>
      <c r="BS146" s="92">
        <f>'CZ06 Factors'!K61</f>
        <v>0.89618736383442266</v>
      </c>
      <c r="BT146" s="24"/>
      <c r="BU146" s="60">
        <v>0.6</v>
      </c>
      <c r="BV146" s="89">
        <f>'CZ07 Factors'!D63</f>
        <v>1.3410000000000002</v>
      </c>
      <c r="BW146" s="90">
        <f>'CZ07 Factors'!E63</f>
        <v>0.95380572597137037</v>
      </c>
      <c r="BX146" s="91">
        <f>'CZ07 Factors'!F63</f>
        <v>0.72500000000000009</v>
      </c>
      <c r="BY146" s="90">
        <f>'CZ07 Factors'!G63</f>
        <v>0.39535087719298234</v>
      </c>
      <c r="BZ146" s="91">
        <f>'CZ07 Factors'!H63</f>
        <v>0.28499999999999998</v>
      </c>
      <c r="CA146" s="90">
        <f>'CZ07 Factors'!I63</f>
        <v>0.48684210526315791</v>
      </c>
      <c r="CB146" s="91">
        <f>'CZ07 Factors'!J63</f>
        <v>0.66</v>
      </c>
      <c r="CC146" s="92">
        <f>'CZ07 Factors'!K63</f>
        <v>1.0387200000000001</v>
      </c>
      <c r="CD146" s="24"/>
      <c r="CE146" s="60">
        <v>0.6</v>
      </c>
      <c r="CF146" s="89">
        <f>'CZ08 Factors'!D63</f>
        <v>0.84959999999999991</v>
      </c>
      <c r="CG146" s="90">
        <f>'CZ08 Factors'!E63</f>
        <v>0.71402432432432428</v>
      </c>
      <c r="CH146" s="91">
        <f>'CZ08 Factors'!F63</f>
        <v>0.66</v>
      </c>
      <c r="CI146" s="90">
        <f>'CZ08 Factors'!G63</f>
        <v>0.4059574468085107</v>
      </c>
      <c r="CJ146" s="91">
        <f>'CZ08 Factors'!H63</f>
        <v>0.31200000000000006</v>
      </c>
      <c r="CK146" s="90">
        <f>'CZ08 Factors'!I63</f>
        <v>0.4580425531914894</v>
      </c>
      <c r="CL146" s="91">
        <f>'CZ08 Factors'!J63</f>
        <v>0.57200000000000006</v>
      </c>
      <c r="CM146" s="92">
        <f>'CZ08 Factors'!K63</f>
        <v>0.71744383561643843</v>
      </c>
    </row>
    <row r="147" spans="1:91" x14ac:dyDescent="0.25">
      <c r="A147" s="24"/>
      <c r="C147" s="60">
        <v>0.8</v>
      </c>
      <c r="D147" s="89"/>
      <c r="E147" s="90"/>
      <c r="F147" s="91"/>
      <c r="G147" s="90"/>
      <c r="H147" s="91"/>
      <c r="I147" s="90"/>
      <c r="J147" s="91"/>
      <c r="K147" s="92"/>
      <c r="L147" s="24"/>
      <c r="M147" s="60">
        <v>0.8</v>
      </c>
      <c r="N147" s="89">
        <f>'CZ02 Factors'!D64</f>
        <v>0.70200000000000007</v>
      </c>
      <c r="O147" s="90">
        <f>'CZ02 Factors'!E64</f>
        <v>0.58584259259259264</v>
      </c>
      <c r="P147" s="91">
        <f>'CZ02 Factors'!F64</f>
        <v>0.54600000000000004</v>
      </c>
      <c r="Q147" s="90">
        <f>'CZ02 Factors'!G64</f>
        <v>0.2361</v>
      </c>
      <c r="R147" s="91">
        <f>'CZ02 Factors'!H64</f>
        <v>9.4999999999999987E-2</v>
      </c>
      <c r="S147" s="90">
        <f>'CZ02 Factors'!I64</f>
        <v>0.41479674796747973</v>
      </c>
      <c r="T147" s="91">
        <f>'CZ02 Factors'!J64</f>
        <v>0.57200000000000006</v>
      </c>
      <c r="U147" s="92">
        <f>'CZ02 Factors'!K64</f>
        <v>0.69393693693693703</v>
      </c>
      <c r="V147" s="24"/>
      <c r="W147" s="60">
        <v>0.8</v>
      </c>
      <c r="X147" s="89">
        <f>'CZ03 Factors'!D64</f>
        <v>0.63</v>
      </c>
      <c r="Y147" s="90">
        <f>'CZ03 Factors'!E64</f>
        <v>0.52621029082774051</v>
      </c>
      <c r="Z147" s="91">
        <f>'CZ03 Factors'!F64</f>
        <v>0.47300000000000003</v>
      </c>
      <c r="AA147" s="90">
        <f>'CZ03 Factors'!G64</f>
        <v>0.41133333333333333</v>
      </c>
      <c r="AB147" s="91">
        <f>'CZ03 Factors'!H64</f>
        <v>0.44999999999999996</v>
      </c>
      <c r="AC147" s="90">
        <f>'CZ03 Factors'!I64</f>
        <v>0.55292929292929283</v>
      </c>
      <c r="AD147" s="91">
        <f>'CZ03 Factors'!J64</f>
        <v>0.59799999999999998</v>
      </c>
      <c r="AE147" s="92">
        <f>'CZ03 Factors'!K64</f>
        <v>0.75908119658119655</v>
      </c>
      <c r="AF147" s="24"/>
      <c r="AG147" s="60">
        <v>0.8</v>
      </c>
      <c r="AH147" s="89">
        <f>'CZ04 Factors'!D64</f>
        <v>0.7420000000000001</v>
      </c>
      <c r="AI147" s="90">
        <f>'CZ04 Factors'!E64</f>
        <v>0.55067108167770418</v>
      </c>
      <c r="AJ147" s="91">
        <f>'CZ04 Factors'!F64</f>
        <v>0.5159999999999999</v>
      </c>
      <c r="AK147" s="90">
        <f>'CZ04 Factors'!G64</f>
        <v>0.34362393162393157</v>
      </c>
      <c r="AL147" s="91">
        <f>'CZ04 Factors'!H64</f>
        <v>0.28799999999999998</v>
      </c>
      <c r="AM147" s="90">
        <f>'CZ04 Factors'!I64</f>
        <v>0.42222222222222222</v>
      </c>
      <c r="AN147" s="91">
        <f>'CZ04 Factors'!J64</f>
        <v>0.52800000000000002</v>
      </c>
      <c r="AO147" s="92">
        <f>'CZ04 Factors'!K64</f>
        <v>0.61732026143790852</v>
      </c>
      <c r="AP147" s="24"/>
      <c r="AQ147" s="60">
        <v>0.8</v>
      </c>
      <c r="AR147" s="89">
        <f>'CZ05 Factors'!D64</f>
        <v>0.78400000000000003</v>
      </c>
      <c r="AS147" s="90">
        <f>'CZ05 Factors'!E64</f>
        <v>0.5528828828828829</v>
      </c>
      <c r="AT147" s="91">
        <f>'CZ05 Factors'!F64</f>
        <v>0.45500000000000002</v>
      </c>
      <c r="AU147" s="90">
        <f>'CZ05 Factors'!G64</f>
        <v>0.31877777777777783</v>
      </c>
      <c r="AV147" s="91">
        <f>'CZ05 Factors'!H64</f>
        <v>0.24699999999999997</v>
      </c>
      <c r="AW147" s="90">
        <f>'CZ05 Factors'!I64</f>
        <v>0.46460683760683757</v>
      </c>
      <c r="AX147" s="91">
        <f>'CZ05 Factors'!J64</f>
        <v>0.58799999999999997</v>
      </c>
      <c r="AY147" s="92">
        <f>'CZ05 Factors'!K64</f>
        <v>0.67856118143459909</v>
      </c>
      <c r="AZ147" s="203"/>
      <c r="BA147" s="60">
        <v>0.8</v>
      </c>
      <c r="BB147" s="89">
        <f>'CZ05 BC Factors'!D64</f>
        <v>0.83299999999999996</v>
      </c>
      <c r="BC147" s="90">
        <f>'CZ05 BC Factors'!E64</f>
        <v>0.56827477477477473</v>
      </c>
      <c r="BD147" s="91">
        <f>'CZ05 BC Factors'!F64</f>
        <v>0.45500000000000002</v>
      </c>
      <c r="BE147" s="90">
        <f>'CZ05 BC Factors'!G64</f>
        <v>0.30676068376068372</v>
      </c>
      <c r="BF147" s="91">
        <f>'CZ05 BC Factors'!H64</f>
        <v>0.22799999999999998</v>
      </c>
      <c r="BG147" s="90">
        <f>'CZ05 BC Factors'!I64</f>
        <v>0.4585982905982906</v>
      </c>
      <c r="BH147" s="91">
        <f>'CZ05 BC Factors'!J64</f>
        <v>0.58799999999999997</v>
      </c>
      <c r="BI147" s="92">
        <f>'CZ05 BC Factors'!K64</f>
        <v>0.70951687763713067</v>
      </c>
      <c r="BJ147" s="24"/>
      <c r="BK147" s="60">
        <v>0.8</v>
      </c>
      <c r="BL147" s="89">
        <f>'CZ06 Factors'!D62</f>
        <v>0.91800000000000015</v>
      </c>
      <c r="BM147" s="90">
        <f>'CZ06 Factors'!E62</f>
        <v>0.66959207459207459</v>
      </c>
      <c r="BN147" s="91">
        <f>'CZ06 Factors'!F62</f>
        <v>0.55099999999999993</v>
      </c>
      <c r="BO147" s="90">
        <f>'CZ06 Factors'!G62</f>
        <v>0.3342888888888888</v>
      </c>
      <c r="BP147" s="91">
        <f>'CZ06 Factors'!H62</f>
        <v>0.24149999999999996</v>
      </c>
      <c r="BQ147" s="90">
        <f>'CZ06 Factors'!I62</f>
        <v>0.43910370370370372</v>
      </c>
      <c r="BR147" s="91">
        <f>'CZ06 Factors'!J62</f>
        <v>0.57500000000000007</v>
      </c>
      <c r="BS147" s="92">
        <f>'CZ06 Factors'!K62</f>
        <v>0.74525054466230944</v>
      </c>
      <c r="BT147" s="24"/>
      <c r="BU147" s="60">
        <v>0.8</v>
      </c>
      <c r="BV147" s="89">
        <f>'CZ07 Factors'!D64</f>
        <v>1.143</v>
      </c>
      <c r="BW147" s="90">
        <f>'CZ07 Factors'!E64</f>
        <v>0.82254805725971381</v>
      </c>
      <c r="BX147" s="91">
        <f>'CZ07 Factors'!F64</f>
        <v>0.63800000000000001</v>
      </c>
      <c r="BY147" s="90">
        <f>'CZ07 Factors'!G64</f>
        <v>0.35581578947368414</v>
      </c>
      <c r="BZ147" s="91">
        <f>'CZ07 Factors'!H64</f>
        <v>0.255</v>
      </c>
      <c r="CA147" s="90">
        <f>'CZ07 Factors'!I64</f>
        <v>0.43815789473684208</v>
      </c>
      <c r="CB147" s="91">
        <f>'CZ07 Factors'!J64</f>
        <v>0.58499999999999996</v>
      </c>
      <c r="CC147" s="92">
        <f>'CZ07 Factors'!K64</f>
        <v>0.89805999999999997</v>
      </c>
      <c r="CD147" s="24"/>
      <c r="CE147" s="60">
        <v>0.8</v>
      </c>
      <c r="CF147" s="89">
        <f>'CZ08 Factors'!D64</f>
        <v>0.72000000000000008</v>
      </c>
      <c r="CG147" s="90">
        <f>'CZ08 Factors'!E64</f>
        <v>0.58498378378378391</v>
      </c>
      <c r="CH147" s="91">
        <f>'CZ08 Factors'!F64</f>
        <v>0.55500000000000005</v>
      </c>
      <c r="CI147" s="90">
        <f>'CZ08 Factors'!G64</f>
        <v>0.35521276595744689</v>
      </c>
      <c r="CJ147" s="91">
        <f>'CZ08 Factors'!H64</f>
        <v>0.28600000000000003</v>
      </c>
      <c r="CK147" s="90">
        <f>'CZ08 Factors'!I64</f>
        <v>0.40078723404255329</v>
      </c>
      <c r="CL147" s="91">
        <f>'CZ08 Factors'!J64</f>
        <v>0.46800000000000003</v>
      </c>
      <c r="CM147" s="92">
        <f>'CZ08 Factors'!K64</f>
        <v>0.58620410958904123</v>
      </c>
    </row>
    <row r="148" spans="1:91" ht="13" x14ac:dyDescent="0.3">
      <c r="A148" s="24"/>
      <c r="C148" s="132">
        <v>1</v>
      </c>
      <c r="D148" s="43"/>
      <c r="E148" s="53"/>
      <c r="F148" s="48"/>
      <c r="G148" s="53"/>
      <c r="H148" s="48"/>
      <c r="I148" s="53"/>
      <c r="J148" s="48"/>
      <c r="K148" s="55"/>
      <c r="L148" s="24"/>
      <c r="M148" s="132">
        <v>1</v>
      </c>
      <c r="N148" s="43">
        <f>'CZ02 Factors'!D65</f>
        <v>0.4860000000000001</v>
      </c>
      <c r="O148" s="53">
        <f>'CZ02 Factors'!E65</f>
        <v>0.50080092592592595</v>
      </c>
      <c r="P148" s="48">
        <f>'CZ02 Factors'!F65</f>
        <v>0.44799999999999995</v>
      </c>
      <c r="Q148" s="53">
        <f>'CZ02 Factors'!G65</f>
        <v>0.22298333333333334</v>
      </c>
      <c r="R148" s="48">
        <f>'CZ02 Factors'!H65</f>
        <v>0.09</v>
      </c>
      <c r="S148" s="53">
        <f>'CZ02 Factors'!I65</f>
        <v>0.35257723577235778</v>
      </c>
      <c r="T148" s="48">
        <f>'CZ02 Factors'!J65</f>
        <v>0.48100000000000004</v>
      </c>
      <c r="U148" s="55">
        <f>'CZ02 Factors'!K65</f>
        <v>0.57147747747747757</v>
      </c>
      <c r="V148" s="24"/>
      <c r="W148" s="132">
        <v>1</v>
      </c>
      <c r="X148" s="43">
        <f>'CZ03 Factors'!D65</f>
        <v>0.42</v>
      </c>
      <c r="Y148" s="53">
        <f>'CZ03 Factors'!E65</f>
        <v>0.44857270693512308</v>
      </c>
      <c r="Z148" s="48">
        <f>'CZ03 Factors'!F65</f>
        <v>0.38500000000000001</v>
      </c>
      <c r="AA148" s="53">
        <f>'CZ03 Factors'!G65</f>
        <v>0.35991666666666672</v>
      </c>
      <c r="AB148" s="48">
        <f>'CZ03 Factors'!H65</f>
        <v>0.42000000000000004</v>
      </c>
      <c r="AC148" s="53">
        <f>'CZ03 Factors'!I65</f>
        <v>0.52040404040404042</v>
      </c>
      <c r="AD148" s="48">
        <f>'CZ03 Factors'!J65</f>
        <v>0.53299999999999992</v>
      </c>
      <c r="AE148" s="55">
        <f>'CZ03 Factors'!K65</f>
        <v>0.60726495726495722</v>
      </c>
      <c r="AF148" s="24"/>
      <c r="AG148" s="132">
        <v>1</v>
      </c>
      <c r="AH148" s="43">
        <f>'CZ04 Factors'!D65</f>
        <v>0.59499999999999997</v>
      </c>
      <c r="AI148" s="53">
        <f>'CZ04 Factors'!E65</f>
        <v>0.4911390728476821</v>
      </c>
      <c r="AJ148" s="48">
        <f>'CZ04 Factors'!F65</f>
        <v>0.44399999999999995</v>
      </c>
      <c r="AK148" s="53">
        <f>'CZ04 Factors'!G65</f>
        <v>0.30745299145299143</v>
      </c>
      <c r="AL148" s="48">
        <f>'CZ04 Factors'!H65</f>
        <v>0.25600000000000001</v>
      </c>
      <c r="AM148" s="53">
        <f>'CZ04 Factors'!I65</f>
        <v>0.37777777777777777</v>
      </c>
      <c r="AN148" s="48">
        <f>'CZ04 Factors'!J65</f>
        <v>0.44400000000000001</v>
      </c>
      <c r="AO148" s="55">
        <f>'CZ04 Factors'!K65</f>
        <v>0.52677995642701525</v>
      </c>
      <c r="AP148" s="24"/>
      <c r="AQ148" s="132">
        <v>1</v>
      </c>
      <c r="AR148" s="43">
        <f>'CZ05 Factors'!D65</f>
        <v>0.64000000000000012</v>
      </c>
      <c r="AS148" s="53">
        <f>'CZ05 Factors'!E65</f>
        <v>0.4227927927927928</v>
      </c>
      <c r="AT148" s="48">
        <f>'CZ05 Factors'!F65</f>
        <v>0.36400000000000005</v>
      </c>
      <c r="AU148" s="53">
        <f>'CZ05 Factors'!G65</f>
        <v>0.28522222222222227</v>
      </c>
      <c r="AV148" s="48">
        <f>'CZ05 Factors'!H65</f>
        <v>0.23399999999999999</v>
      </c>
      <c r="AW148" s="53">
        <f>'CZ05 Factors'!I65</f>
        <v>0.41570085470085472</v>
      </c>
      <c r="AX148" s="48">
        <f>'CZ05 Factors'!J65</f>
        <v>0.504</v>
      </c>
      <c r="AY148" s="55">
        <f>'CZ05 Factors'!K65</f>
        <v>0.58560759493670878</v>
      </c>
      <c r="AZ148" s="202"/>
      <c r="BA148" s="132">
        <v>1</v>
      </c>
      <c r="BB148" s="43">
        <f>'CZ05 BC Factors'!D65</f>
        <v>0.68</v>
      </c>
      <c r="BC148" s="53">
        <f>'CZ05 BC Factors'!E65</f>
        <v>0.43456306306306303</v>
      </c>
      <c r="BD148" s="48">
        <f>'CZ05 BC Factors'!F65</f>
        <v>0.36400000000000005</v>
      </c>
      <c r="BE148" s="53">
        <f>'CZ05 BC Factors'!G65</f>
        <v>0.27447008547008545</v>
      </c>
      <c r="BF148" s="48">
        <f>'CZ05 BC Factors'!H65</f>
        <v>0.216</v>
      </c>
      <c r="BG148" s="53">
        <f>'CZ05 BC Factors'!I65</f>
        <v>0.41032478632478636</v>
      </c>
      <c r="BH148" s="48">
        <f>'CZ05 BC Factors'!J65</f>
        <v>0.504</v>
      </c>
      <c r="BI148" s="55">
        <f>'CZ05 BC Factors'!K65</f>
        <v>0.61232278481012647</v>
      </c>
      <c r="BJ148" s="24"/>
      <c r="BK148" s="132">
        <v>1</v>
      </c>
      <c r="BL148" s="43">
        <f>'CZ06 Factors'!D63</f>
        <v>0.73099999999999998</v>
      </c>
      <c r="BM148" s="53">
        <f>'CZ06 Factors'!E63</f>
        <v>0.5320046620046619</v>
      </c>
      <c r="BN148" s="48">
        <f>'CZ06 Factors'!F63</f>
        <v>0.49299999999999994</v>
      </c>
      <c r="BO148" s="53">
        <f>'CZ06 Factors'!G63</f>
        <v>0.30245185185185181</v>
      </c>
      <c r="BP148" s="48">
        <f>'CZ06 Factors'!H63</f>
        <v>0.21849999999999997</v>
      </c>
      <c r="BQ148" s="53">
        <f>'CZ06 Factors'!I63</f>
        <v>0.37922592592592597</v>
      </c>
      <c r="BR148" s="48">
        <f>'CZ06 Factors'!J63</f>
        <v>0.48750000000000004</v>
      </c>
      <c r="BS148" s="55">
        <f>'CZ06 Factors'!K63</f>
        <v>0.65091503267973849</v>
      </c>
      <c r="BT148" s="24"/>
      <c r="BU148" s="132">
        <v>1</v>
      </c>
      <c r="BV148" s="43">
        <f>'CZ07 Factors'!D65</f>
        <v>1.0439999999999998</v>
      </c>
      <c r="BW148" s="53">
        <f>'CZ07 Factors'!E65</f>
        <v>0.72629243353783246</v>
      </c>
      <c r="BX148" s="48">
        <f>'CZ07 Factors'!F65</f>
        <v>0.59450000000000003</v>
      </c>
      <c r="BY148" s="53">
        <f>'CZ07 Factors'!G65</f>
        <v>0.31628070175438588</v>
      </c>
      <c r="BZ148" s="48">
        <f>'CZ07 Factors'!H65</f>
        <v>0.24</v>
      </c>
      <c r="CA148" s="53">
        <f>'CZ07 Factors'!I65</f>
        <v>0.38947368421052631</v>
      </c>
      <c r="CB148" s="48">
        <f>'CZ07 Factors'!J65</f>
        <v>0.51</v>
      </c>
      <c r="CC148" s="55">
        <f>'CZ07 Factors'!K65</f>
        <v>0.76822000000000001</v>
      </c>
      <c r="CD148" s="24"/>
      <c r="CE148" s="132">
        <v>1</v>
      </c>
      <c r="CF148" s="43">
        <f>'CZ08 Factors'!D65</f>
        <v>0.56879999999999997</v>
      </c>
      <c r="CG148" s="53">
        <f>'CZ08 Factors'!E65</f>
        <v>0.50755945945945946</v>
      </c>
      <c r="CH148" s="48">
        <f>'CZ08 Factors'!F65</f>
        <v>0.48</v>
      </c>
      <c r="CI148" s="53">
        <f>'CZ08 Factors'!G65</f>
        <v>0.33829787234042563</v>
      </c>
      <c r="CJ148" s="48">
        <f>'CZ08 Factors'!H65</f>
        <v>0.26000000000000006</v>
      </c>
      <c r="CK148" s="53">
        <f>'CZ08 Factors'!I65</f>
        <v>0.36261702127659584</v>
      </c>
      <c r="CL148" s="48">
        <f>'CZ08 Factors'!J65</f>
        <v>0.39</v>
      </c>
      <c r="CM148" s="55">
        <f>'CZ08 Factors'!K65</f>
        <v>0.50746027397260274</v>
      </c>
    </row>
    <row r="149" spans="1:91" x14ac:dyDescent="0.25">
      <c r="A149" s="24"/>
      <c r="C149" s="60">
        <v>1.2</v>
      </c>
      <c r="D149" s="89"/>
      <c r="E149" s="90"/>
      <c r="F149" s="91"/>
      <c r="G149" s="90"/>
      <c r="H149" s="91"/>
      <c r="I149" s="90"/>
      <c r="J149" s="91"/>
      <c r="K149" s="92"/>
      <c r="L149" s="24"/>
      <c r="M149" s="60">
        <v>1.2</v>
      </c>
      <c r="N149" s="89">
        <f>'CZ02 Factors'!D66</f>
        <v>0.29700000000000004</v>
      </c>
      <c r="O149" s="90">
        <f>'CZ02 Factors'!E66</f>
        <v>0.39686111111111116</v>
      </c>
      <c r="P149" s="91">
        <f>'CZ02 Factors'!F66</f>
        <v>0.39200000000000002</v>
      </c>
      <c r="Q149" s="90">
        <f>'CZ02 Factors'!G66</f>
        <v>0.19674999999999998</v>
      </c>
      <c r="R149" s="91">
        <f>'CZ02 Factors'!H66</f>
        <v>8.5000000000000006E-2</v>
      </c>
      <c r="S149" s="90">
        <f>'CZ02 Factors'!I66</f>
        <v>0.33183739837398379</v>
      </c>
      <c r="T149" s="91">
        <f>'CZ02 Factors'!J66</f>
        <v>0.45499999999999996</v>
      </c>
      <c r="U149" s="92">
        <f>'CZ02 Factors'!K66</f>
        <v>0.46942792792792798</v>
      </c>
      <c r="V149" s="24"/>
      <c r="W149" s="60">
        <v>1.2</v>
      </c>
      <c r="X149" s="89">
        <f>'CZ03 Factors'!D66</f>
        <v>0.28999999999999998</v>
      </c>
      <c r="Y149" s="90">
        <f>'CZ03 Factors'!E66</f>
        <v>0.34505592841163313</v>
      </c>
      <c r="Z149" s="91">
        <f>'CZ03 Factors'!F66</f>
        <v>0.34100000000000003</v>
      </c>
      <c r="AA149" s="90">
        <f>'CZ03 Factors'!G66</f>
        <v>0.33420833333333333</v>
      </c>
      <c r="AB149" s="91">
        <f>'CZ03 Factors'!H66</f>
        <v>0.42000000000000004</v>
      </c>
      <c r="AC149" s="90">
        <f>'CZ03 Factors'!I66</f>
        <v>0.45535353535353534</v>
      </c>
      <c r="AD149" s="91">
        <f>'CZ03 Factors'!J66</f>
        <v>0.442</v>
      </c>
      <c r="AE149" s="92">
        <f>'CZ03 Factors'!K66</f>
        <v>0.52051282051282044</v>
      </c>
      <c r="AF149" s="24"/>
      <c r="AG149" s="60">
        <v>1.2</v>
      </c>
      <c r="AH149" s="89">
        <f>'CZ04 Factors'!D66</f>
        <v>0.42699999999999999</v>
      </c>
      <c r="AI149" s="90">
        <f>'CZ04 Factors'!E66</f>
        <v>0.37951655629139069</v>
      </c>
      <c r="AJ149" s="91">
        <f>'CZ04 Factors'!F66</f>
        <v>0.39600000000000002</v>
      </c>
      <c r="AK149" s="90">
        <f>'CZ04 Factors'!G66</f>
        <v>0.27128205128205124</v>
      </c>
      <c r="AL149" s="91">
        <f>'CZ04 Factors'!H66</f>
        <v>0.25600000000000001</v>
      </c>
      <c r="AM149" s="90">
        <f>'CZ04 Factors'!I66</f>
        <v>0.35555555555555557</v>
      </c>
      <c r="AN149" s="91">
        <f>'CZ04 Factors'!J66</f>
        <v>0.40800000000000003</v>
      </c>
      <c r="AO149" s="92">
        <f>'CZ04 Factors'!K66</f>
        <v>0.4609324618736384</v>
      </c>
      <c r="AP149" s="24"/>
      <c r="AQ149" s="60">
        <v>1.2</v>
      </c>
      <c r="AR149" s="89">
        <f>'CZ05 Factors'!D66</f>
        <v>0.43200000000000005</v>
      </c>
      <c r="AS149" s="90">
        <f>'CZ05 Factors'!E66</f>
        <v>0.37400900900900902</v>
      </c>
      <c r="AT149" s="91">
        <f>'CZ05 Factors'!F66</f>
        <v>0.32500000000000001</v>
      </c>
      <c r="AU149" s="90">
        <f>'CZ05 Factors'!G66</f>
        <v>0.26844444444444449</v>
      </c>
      <c r="AV149" s="91">
        <f>'CZ05 Factors'!H66</f>
        <v>0.221</v>
      </c>
      <c r="AW149" s="90">
        <f>'CZ05 Factors'!I66</f>
        <v>0.39124786324786326</v>
      </c>
      <c r="AX149" s="91">
        <f>'CZ05 Factors'!J66</f>
        <v>0.40599999999999997</v>
      </c>
      <c r="AY149" s="92">
        <f>'CZ05 Factors'!K66</f>
        <v>0.46476793248945142</v>
      </c>
      <c r="AZ149" s="203"/>
      <c r="BA149" s="60">
        <v>1.2</v>
      </c>
      <c r="BB149" s="89">
        <f>'CZ05 BC Factors'!D66</f>
        <v>0.45900000000000002</v>
      </c>
      <c r="BC149" s="90">
        <f>'CZ05 BC Factors'!E66</f>
        <v>0.38442117117117114</v>
      </c>
      <c r="BD149" s="91">
        <f>'CZ05 BC Factors'!F66</f>
        <v>0.32500000000000001</v>
      </c>
      <c r="BE149" s="90">
        <f>'CZ05 BC Factors'!G66</f>
        <v>0.25832478632478628</v>
      </c>
      <c r="BF149" s="91">
        <f>'CZ05 BC Factors'!H66</f>
        <v>0.20400000000000001</v>
      </c>
      <c r="BG149" s="90">
        <f>'CZ05 BC Factors'!I66</f>
        <v>0.38618803418803416</v>
      </c>
      <c r="BH149" s="91">
        <f>'CZ05 BC Factors'!J66</f>
        <v>0.40599999999999997</v>
      </c>
      <c r="BI149" s="92">
        <f>'CZ05 BC Factors'!K66</f>
        <v>0.48597046413502099</v>
      </c>
      <c r="BJ149" s="24"/>
      <c r="BK149" s="60">
        <v>1.2</v>
      </c>
      <c r="BL149" s="89">
        <f>'CZ06 Factors'!D64</f>
        <v>0.59499999999999997</v>
      </c>
      <c r="BM149" s="90">
        <f>'CZ06 Factors'!E64</f>
        <v>0.49531468531468531</v>
      </c>
      <c r="BN149" s="91">
        <f>'CZ06 Factors'!F64</f>
        <v>0.42049999999999987</v>
      </c>
      <c r="BO149" s="90">
        <f>'CZ06 Factors'!G64</f>
        <v>0.28653333333333331</v>
      </c>
      <c r="BP149" s="91">
        <f>'CZ06 Factors'!H64</f>
        <v>0.19550000000000001</v>
      </c>
      <c r="BQ149" s="90">
        <f>'CZ06 Factors'!I64</f>
        <v>0.35926666666666668</v>
      </c>
      <c r="BR149" s="91">
        <f>'CZ06 Factors'!J64</f>
        <v>0.45</v>
      </c>
      <c r="BS149" s="92">
        <f>'CZ06 Factors'!K64</f>
        <v>0.5471459694989107</v>
      </c>
      <c r="BT149" s="24"/>
      <c r="BU149" s="60">
        <v>1.2</v>
      </c>
      <c r="BV149" s="89">
        <f>'CZ07 Factors'!D66</f>
        <v>0.81900000000000006</v>
      </c>
      <c r="BW149" s="90">
        <f>'CZ07 Factors'!E66</f>
        <v>0.61253578732106351</v>
      </c>
      <c r="BX149" s="91">
        <f>'CZ07 Factors'!F66</f>
        <v>0.49300000000000005</v>
      </c>
      <c r="BY149" s="90">
        <f>'CZ07 Factors'!G66</f>
        <v>0.29651315789473681</v>
      </c>
      <c r="BZ149" s="91">
        <f>'CZ07 Factors'!H66</f>
        <v>0.22499999999999998</v>
      </c>
      <c r="CA149" s="90">
        <f>'CZ07 Factors'!I66</f>
        <v>0.36513157894736842</v>
      </c>
      <c r="CB149" s="91">
        <f>'CZ07 Factors'!J66</f>
        <v>0.44999999999999996</v>
      </c>
      <c r="CC149" s="92">
        <f>'CZ07 Factors'!K66</f>
        <v>0.68165999999999993</v>
      </c>
      <c r="CD149" s="24"/>
      <c r="CE149" s="60">
        <v>1.2</v>
      </c>
      <c r="CF149" s="89">
        <f>'CZ08 Factors'!D66</f>
        <v>0.38880000000000003</v>
      </c>
      <c r="CG149" s="90">
        <f>'CZ08 Factors'!E66</f>
        <v>0.39572432432432436</v>
      </c>
      <c r="CH149" s="91">
        <f>'CZ08 Factors'!F66</f>
        <v>0.4200000000000001</v>
      </c>
      <c r="CI149" s="90">
        <f>'CZ08 Factors'!G66</f>
        <v>0.30446808510638301</v>
      </c>
      <c r="CJ149" s="91">
        <f>'CZ08 Factors'!H66</f>
        <v>0.24700000000000003</v>
      </c>
      <c r="CK149" s="90">
        <f>'CZ08 Factors'!I66</f>
        <v>0.34353191489361706</v>
      </c>
      <c r="CL149" s="91">
        <f>'CZ08 Factors'!J66</f>
        <v>0.35100000000000003</v>
      </c>
      <c r="CM149" s="92">
        <f>'CZ08 Factors'!K66</f>
        <v>0.41121780821917814</v>
      </c>
    </row>
    <row r="150" spans="1:91" x14ac:dyDescent="0.25">
      <c r="A150" s="24"/>
      <c r="C150" s="60">
        <v>1.4</v>
      </c>
      <c r="D150" s="89"/>
      <c r="E150" s="90"/>
      <c r="F150" s="91"/>
      <c r="G150" s="90"/>
      <c r="H150" s="91"/>
      <c r="I150" s="90"/>
      <c r="J150" s="91"/>
      <c r="K150" s="92"/>
      <c r="L150" s="24"/>
      <c r="M150" s="60">
        <v>1.4</v>
      </c>
      <c r="N150" s="89">
        <f>'CZ02 Factors'!D67</f>
        <v>0.25200000000000006</v>
      </c>
      <c r="O150" s="90">
        <f>'CZ02 Factors'!E67</f>
        <v>0.34016666666666667</v>
      </c>
      <c r="P150" s="91">
        <f>'CZ02 Factors'!F67</f>
        <v>0.32200000000000001</v>
      </c>
      <c r="Q150" s="90">
        <f>'CZ02 Factors'!G67</f>
        <v>0.18363333333333337</v>
      </c>
      <c r="R150" s="91">
        <f>'CZ02 Factors'!H67</f>
        <v>0.08</v>
      </c>
      <c r="S150" s="90">
        <f>'CZ02 Factors'!I67</f>
        <v>0.31109756097560975</v>
      </c>
      <c r="T150" s="91">
        <f>'CZ02 Factors'!J67</f>
        <v>0.40300000000000002</v>
      </c>
      <c r="U150" s="92">
        <f>'CZ02 Factors'!K67</f>
        <v>0.38778828828828832</v>
      </c>
      <c r="V150" s="24"/>
      <c r="W150" s="60">
        <v>1.4</v>
      </c>
      <c r="X150" s="89">
        <f>'CZ03 Factors'!D67</f>
        <v>0.23</v>
      </c>
      <c r="Y150" s="90">
        <f>'CZ03 Factors'!E67</f>
        <v>0.31055033557046979</v>
      </c>
      <c r="Z150" s="91">
        <f>'CZ03 Factors'!F67</f>
        <v>0.27500000000000002</v>
      </c>
      <c r="AA150" s="90">
        <f>'CZ03 Factors'!G67</f>
        <v>0.3085</v>
      </c>
      <c r="AB150" s="91">
        <f>'CZ03 Factors'!H67</f>
        <v>0.39</v>
      </c>
      <c r="AC150" s="90">
        <f>'CZ03 Factors'!I67</f>
        <v>0.42282828282828278</v>
      </c>
      <c r="AD150" s="91">
        <f>'CZ03 Factors'!J67</f>
        <v>0.38999999999999996</v>
      </c>
      <c r="AE150" s="92">
        <f>'CZ03 Factors'!K67</f>
        <v>0.44460470085470077</v>
      </c>
      <c r="AF150" s="24"/>
      <c r="AG150" s="60">
        <v>1.4</v>
      </c>
      <c r="AH150" s="89">
        <f>'CZ04 Factors'!D67</f>
        <v>0.32900000000000001</v>
      </c>
      <c r="AI150" s="90">
        <f>'CZ04 Factors'!E67</f>
        <v>0.34975055187637966</v>
      </c>
      <c r="AJ150" s="91">
        <f>'CZ04 Factors'!F67</f>
        <v>0.35999999999999993</v>
      </c>
      <c r="AK150" s="90">
        <f>'CZ04 Factors'!G67</f>
        <v>0.25319658119658117</v>
      </c>
      <c r="AL150" s="91">
        <f>'CZ04 Factors'!H67</f>
        <v>0.24</v>
      </c>
      <c r="AM150" s="90">
        <f>'CZ04 Factors'!I67</f>
        <v>0.33333333333333331</v>
      </c>
      <c r="AN150" s="91">
        <f>'CZ04 Factors'!J67</f>
        <v>0.36000000000000004</v>
      </c>
      <c r="AO150" s="92">
        <f>'CZ04 Factors'!K67</f>
        <v>0.3868540305010893</v>
      </c>
      <c r="AP150" s="24"/>
      <c r="AQ150" s="60">
        <v>1.4</v>
      </c>
      <c r="AR150" s="89">
        <f>'CZ05 Factors'!D67</f>
        <v>0.32000000000000006</v>
      </c>
      <c r="AS150" s="90">
        <f>'CZ05 Factors'!E67</f>
        <v>0.27644144144144145</v>
      </c>
      <c r="AT150" s="91">
        <f>'CZ05 Factors'!F67</f>
        <v>0.27300000000000002</v>
      </c>
      <c r="AU150" s="90">
        <f>'CZ05 Factors'!G67</f>
        <v>0.25166666666666671</v>
      </c>
      <c r="AV150" s="91">
        <f>'CZ05 Factors'!H67</f>
        <v>0.20799999999999999</v>
      </c>
      <c r="AW150" s="90">
        <f>'CZ05 Factors'!I67</f>
        <v>0.36679487179487175</v>
      </c>
      <c r="AX150" s="91">
        <f>'CZ05 Factors'!J67</f>
        <v>0.39200000000000007</v>
      </c>
      <c r="AY150" s="92">
        <f>'CZ05 Factors'!K67</f>
        <v>0.39970042194092825</v>
      </c>
      <c r="AZ150" s="203"/>
      <c r="BA150" s="60">
        <v>1.4</v>
      </c>
      <c r="BB150" s="89">
        <f>'CZ05 BC Factors'!D67</f>
        <v>0.34</v>
      </c>
      <c r="BC150" s="90">
        <f>'CZ05 BC Factors'!E67</f>
        <v>0.28413738738738736</v>
      </c>
      <c r="BD150" s="91">
        <f>'CZ05 BC Factors'!F67</f>
        <v>0.27300000000000002</v>
      </c>
      <c r="BE150" s="90">
        <f>'CZ05 BC Factors'!G67</f>
        <v>0.24217948717948712</v>
      </c>
      <c r="BF150" s="91">
        <f>'CZ05 BC Factors'!H67</f>
        <v>0.192</v>
      </c>
      <c r="BG150" s="90">
        <f>'CZ05 BC Factors'!I67</f>
        <v>0.36205128205128201</v>
      </c>
      <c r="BH150" s="91">
        <f>'CZ05 BC Factors'!J67</f>
        <v>0.39200000000000007</v>
      </c>
      <c r="BI150" s="92">
        <f>'CZ05 BC Factors'!K67</f>
        <v>0.41793459915611814</v>
      </c>
      <c r="BJ150" s="24"/>
      <c r="BK150" s="60">
        <v>1.4</v>
      </c>
      <c r="BL150" s="89">
        <f>'CZ06 Factors'!D65</f>
        <v>0.45050000000000007</v>
      </c>
      <c r="BM150" s="90">
        <f>'CZ06 Factors'!E65</f>
        <v>0.37607226107226105</v>
      </c>
      <c r="BN150" s="91">
        <f>'CZ06 Factors'!F65</f>
        <v>0.377</v>
      </c>
      <c r="BO150" s="90">
        <f>'CZ06 Factors'!G65</f>
        <v>0.25469629629629631</v>
      </c>
      <c r="BP150" s="91">
        <f>'CZ06 Factors'!H65</f>
        <v>0.19550000000000001</v>
      </c>
      <c r="BQ150" s="90">
        <f>'CZ06 Factors'!I65</f>
        <v>0.33930740740740745</v>
      </c>
      <c r="BR150" s="91">
        <f>'CZ06 Factors'!J65</f>
        <v>0.4</v>
      </c>
      <c r="BS150" s="92">
        <f>'CZ06 Factors'!K65</f>
        <v>0.49054466230936822</v>
      </c>
      <c r="BT150" s="24"/>
      <c r="BU150" s="60">
        <v>1.4</v>
      </c>
      <c r="BV150" s="89">
        <f>'CZ07 Factors'!D67</f>
        <v>0.747</v>
      </c>
      <c r="BW150" s="90">
        <f>'CZ07 Factors'!E67</f>
        <v>0.59503476482617601</v>
      </c>
      <c r="BX150" s="91">
        <f>'CZ07 Factors'!F67</f>
        <v>0.47850000000000009</v>
      </c>
      <c r="BY150" s="90">
        <f>'CZ07 Factors'!G67</f>
        <v>0.27674561403508768</v>
      </c>
      <c r="BZ150" s="91">
        <f>'CZ07 Factors'!H67</f>
        <v>0.21</v>
      </c>
      <c r="CA150" s="90">
        <f>'CZ07 Factors'!I67</f>
        <v>0.34078947368421059</v>
      </c>
      <c r="CB150" s="91">
        <f>'CZ07 Factors'!J67</f>
        <v>0.40500000000000003</v>
      </c>
      <c r="CC150" s="92">
        <f>'CZ07 Factors'!K67</f>
        <v>0.51936000000000004</v>
      </c>
      <c r="CD150" s="24"/>
      <c r="CE150" s="60">
        <v>1.4</v>
      </c>
      <c r="CF150" s="89">
        <f>'CZ08 Factors'!D67</f>
        <v>0.31679999999999997</v>
      </c>
      <c r="CG150" s="90">
        <f>'CZ08 Factors'!E67</f>
        <v>0.36131351351351354</v>
      </c>
      <c r="CH150" s="91">
        <f>'CZ08 Factors'!F67</f>
        <v>0.375</v>
      </c>
      <c r="CI150" s="90">
        <f>'CZ08 Factors'!G67</f>
        <v>0.28755319148936176</v>
      </c>
      <c r="CJ150" s="91">
        <f>'CZ08 Factors'!H67</f>
        <v>0.23400000000000001</v>
      </c>
      <c r="CK150" s="90">
        <f>'CZ08 Factors'!I67</f>
        <v>0.32444680851063834</v>
      </c>
      <c r="CL150" s="91">
        <f>'CZ08 Factors'!J67</f>
        <v>0.31200000000000006</v>
      </c>
      <c r="CM150" s="92">
        <f>'CZ08 Factors'!K67</f>
        <v>0.33247397260273975</v>
      </c>
    </row>
    <row r="151" spans="1:91" x14ac:dyDescent="0.25">
      <c r="A151" s="24"/>
      <c r="C151" s="60">
        <v>1.6</v>
      </c>
      <c r="D151" s="89"/>
      <c r="E151" s="90"/>
      <c r="F151" s="91"/>
      <c r="G151" s="90"/>
      <c r="H151" s="91"/>
      <c r="I151" s="90"/>
      <c r="J151" s="91"/>
      <c r="K151" s="92"/>
      <c r="L151" s="24"/>
      <c r="M151" s="60">
        <v>1.6</v>
      </c>
      <c r="N151" s="89">
        <f>'CZ02 Factors'!D68</f>
        <v>0.19800000000000001</v>
      </c>
      <c r="O151" s="90">
        <f>'CZ02 Factors'!E68</f>
        <v>0.27402314814814815</v>
      </c>
      <c r="P151" s="91">
        <f>'CZ02 Factors'!F68</f>
        <v>0.308</v>
      </c>
      <c r="Q151" s="90">
        <f>'CZ02 Factors'!G68</f>
        <v>0.18363333333333337</v>
      </c>
      <c r="R151" s="91">
        <f>'CZ02 Factors'!H68</f>
        <v>7.4999999999999997E-2</v>
      </c>
      <c r="S151" s="90">
        <f>'CZ02 Factors'!I68</f>
        <v>0.29035772357723583</v>
      </c>
      <c r="T151" s="91">
        <f>'CZ02 Factors'!J68</f>
        <v>0.33800000000000002</v>
      </c>
      <c r="U151" s="92">
        <f>'CZ02 Factors'!K68</f>
        <v>0.34696846846846852</v>
      </c>
      <c r="V151" s="24"/>
      <c r="W151" s="60">
        <v>1.6</v>
      </c>
      <c r="X151" s="89">
        <f>'CZ03 Factors'!D68</f>
        <v>0.17</v>
      </c>
      <c r="Y151" s="90">
        <f>'CZ03 Factors'!E68</f>
        <v>0.26741834451901569</v>
      </c>
      <c r="Z151" s="91">
        <f>'CZ03 Factors'!F68</f>
        <v>0.26400000000000001</v>
      </c>
      <c r="AA151" s="90">
        <f>'CZ03 Factors'!G68</f>
        <v>0.28279166666666666</v>
      </c>
      <c r="AB151" s="91">
        <f>'CZ03 Factors'!H68</f>
        <v>0.36</v>
      </c>
      <c r="AC151" s="90">
        <f>'CZ03 Factors'!I68</f>
        <v>0.39030303030303021</v>
      </c>
      <c r="AD151" s="91">
        <f>'CZ03 Factors'!J68</f>
        <v>0.37699999999999995</v>
      </c>
      <c r="AE151" s="92">
        <f>'CZ03 Factors'!K68</f>
        <v>0.36869658119658122</v>
      </c>
      <c r="AF151" s="24"/>
      <c r="AG151" s="60">
        <v>1.6</v>
      </c>
      <c r="AH151" s="89">
        <f>'CZ04 Factors'!D68</f>
        <v>0.23800000000000002</v>
      </c>
      <c r="AI151" s="90">
        <f>'CZ04 Factors'!E68</f>
        <v>0.30510154525386313</v>
      </c>
      <c r="AJ151" s="91">
        <f>'CZ04 Factors'!F68</f>
        <v>0.33599999999999997</v>
      </c>
      <c r="AK151" s="90">
        <f>'CZ04 Factors'!G68</f>
        <v>0.25319658119658117</v>
      </c>
      <c r="AL151" s="91">
        <f>'CZ04 Factors'!H68</f>
        <v>0.22400000000000003</v>
      </c>
      <c r="AM151" s="90">
        <f>'CZ04 Factors'!I68</f>
        <v>0.31111111111111112</v>
      </c>
      <c r="AN151" s="91">
        <f>'CZ04 Factors'!J68</f>
        <v>0.31200000000000006</v>
      </c>
      <c r="AO151" s="92">
        <f>'CZ04 Factors'!K68</f>
        <v>0.33746840958605667</v>
      </c>
      <c r="AP151" s="24"/>
      <c r="AQ151" s="60">
        <v>1.6</v>
      </c>
      <c r="AR151" s="89">
        <f>'CZ05 Factors'!D68</f>
        <v>0.22400000000000003</v>
      </c>
      <c r="AS151" s="90">
        <f>'CZ05 Factors'!E68</f>
        <v>0.2439189189189189</v>
      </c>
      <c r="AT151" s="91">
        <f>'CZ05 Factors'!F68</f>
        <v>0.24700000000000003</v>
      </c>
      <c r="AU151" s="90">
        <f>'CZ05 Factors'!G68</f>
        <v>0.23488888888888892</v>
      </c>
      <c r="AV151" s="91">
        <f>'CZ05 Factors'!H68</f>
        <v>0.182</v>
      </c>
      <c r="AW151" s="90">
        <f>'CZ05 Factors'!I68</f>
        <v>0.31788888888888889</v>
      </c>
      <c r="AX151" s="91">
        <f>'CZ05 Factors'!J68</f>
        <v>0.32200000000000001</v>
      </c>
      <c r="AY151" s="92">
        <f>'CZ05 Factors'!K68</f>
        <v>0.33463291139240503</v>
      </c>
      <c r="AZ151" s="203"/>
      <c r="BA151" s="60">
        <v>1.6</v>
      </c>
      <c r="BB151" s="89">
        <f>'CZ05 BC Factors'!D68</f>
        <v>0.23800000000000002</v>
      </c>
      <c r="BC151" s="90">
        <f>'CZ05 BC Factors'!E68</f>
        <v>0.25070945945945944</v>
      </c>
      <c r="BD151" s="91">
        <f>'CZ05 BC Factors'!F68</f>
        <v>0.24700000000000003</v>
      </c>
      <c r="BE151" s="90">
        <f>'CZ05 BC Factors'!G68</f>
        <v>0.22603418803418801</v>
      </c>
      <c r="BF151" s="91">
        <f>'CZ05 BC Factors'!H68</f>
        <v>0.16800000000000001</v>
      </c>
      <c r="BG151" s="90">
        <f>'CZ05 BC Factors'!I68</f>
        <v>0.31377777777777777</v>
      </c>
      <c r="BH151" s="91">
        <f>'CZ05 BC Factors'!J68</f>
        <v>0.32200000000000001</v>
      </c>
      <c r="BI151" s="92">
        <f>'CZ05 BC Factors'!K68</f>
        <v>0.34989873417721512</v>
      </c>
      <c r="BJ151" s="24"/>
      <c r="BK151" s="60">
        <v>1.6</v>
      </c>
      <c r="BL151" s="89">
        <f>'CZ06 Factors'!D66</f>
        <v>0.374</v>
      </c>
      <c r="BM151" s="90">
        <f>'CZ06 Factors'!E66</f>
        <v>0.33938228438228435</v>
      </c>
      <c r="BN151" s="91">
        <f>'CZ06 Factors'!F66</f>
        <v>0.31899999999999995</v>
      </c>
      <c r="BO151" s="90">
        <f>'CZ06 Factors'!G66</f>
        <v>0.23877777777777776</v>
      </c>
      <c r="BP151" s="91">
        <f>'CZ06 Factors'!H66</f>
        <v>0.18399999999999997</v>
      </c>
      <c r="BQ151" s="90">
        <f>'CZ06 Factors'!I66</f>
        <v>0.29938888888888893</v>
      </c>
      <c r="BR151" s="91">
        <f>'CZ06 Factors'!J66</f>
        <v>0.35000000000000009</v>
      </c>
      <c r="BS151" s="92">
        <f>'CZ06 Factors'!K66</f>
        <v>0.4150762527233115</v>
      </c>
      <c r="BT151" s="24"/>
      <c r="BU151" s="60">
        <v>1.6</v>
      </c>
      <c r="BV151" s="89">
        <f>'CZ07 Factors'!D68</f>
        <v>0.57600000000000007</v>
      </c>
      <c r="BW151" s="90">
        <f>'CZ07 Factors'!E68</f>
        <v>0.42877505112474446</v>
      </c>
      <c r="BX151" s="91">
        <f>'CZ07 Factors'!F68</f>
        <v>0.435</v>
      </c>
      <c r="BY151" s="90">
        <f>'CZ07 Factors'!G68</f>
        <v>0.25697807017543856</v>
      </c>
      <c r="BZ151" s="91">
        <f>'CZ07 Factors'!H68</f>
        <v>0.19499999999999998</v>
      </c>
      <c r="CA151" s="90">
        <f>'CZ07 Factors'!I68</f>
        <v>0.29210526315789476</v>
      </c>
      <c r="CB151" s="91">
        <f>'CZ07 Factors'!J68</f>
        <v>0.375</v>
      </c>
      <c r="CC151" s="92">
        <f>'CZ07 Factors'!K68</f>
        <v>0.4869</v>
      </c>
      <c r="CD151" s="24"/>
      <c r="CE151" s="60">
        <v>1.6</v>
      </c>
      <c r="CF151" s="89">
        <f>'CZ08 Factors'!D68</f>
        <v>0.22320000000000001</v>
      </c>
      <c r="CG151" s="90">
        <f>'CZ08 Factors'!E68</f>
        <v>0.26668378378378382</v>
      </c>
      <c r="CH151" s="91">
        <f>'CZ08 Factors'!F68</f>
        <v>0.315</v>
      </c>
      <c r="CI151" s="90">
        <f>'CZ08 Factors'!G68</f>
        <v>0.27063829787234051</v>
      </c>
      <c r="CJ151" s="91">
        <f>'CZ08 Factors'!H68</f>
        <v>0.22100000000000003</v>
      </c>
      <c r="CK151" s="90">
        <f>'CZ08 Factors'!I68</f>
        <v>0.2862765957446809</v>
      </c>
      <c r="CL151" s="91">
        <f>'CZ08 Factors'!J68</f>
        <v>0.28600000000000003</v>
      </c>
      <c r="CM151" s="92">
        <f>'CZ08 Factors'!K68</f>
        <v>0.27997808219178089</v>
      </c>
    </row>
    <row r="152" spans="1:91" x14ac:dyDescent="0.25">
      <c r="A152" s="24"/>
      <c r="C152" s="60">
        <v>1.8</v>
      </c>
      <c r="D152" s="89"/>
      <c r="E152" s="90"/>
      <c r="F152" s="91"/>
      <c r="G152" s="90"/>
      <c r="H152" s="91"/>
      <c r="I152" s="90"/>
      <c r="J152" s="91"/>
      <c r="K152" s="92"/>
      <c r="L152" s="24"/>
      <c r="M152" s="60">
        <v>1.8</v>
      </c>
      <c r="N152" s="89">
        <f>'CZ02 Factors'!D69</f>
        <v>0.17100000000000001</v>
      </c>
      <c r="O152" s="90">
        <f>'CZ02 Factors'!E69</f>
        <v>0.23622685185185185</v>
      </c>
      <c r="P152" s="91">
        <f>'CZ02 Factors'!F69</f>
        <v>0.26600000000000001</v>
      </c>
      <c r="Q152" s="90">
        <f>'CZ02 Factors'!G69</f>
        <v>0.17051666666666671</v>
      </c>
      <c r="R152" s="91">
        <f>'CZ02 Factors'!H69</f>
        <v>7.0000000000000007E-2</v>
      </c>
      <c r="S152" s="90">
        <f>'CZ02 Factors'!I69</f>
        <v>0.26961788617886179</v>
      </c>
      <c r="T152" s="91">
        <f>'CZ02 Factors'!J69</f>
        <v>0.29899999999999999</v>
      </c>
      <c r="U152" s="92">
        <f>'CZ02 Factors'!K69</f>
        <v>0.28573873873873878</v>
      </c>
      <c r="V152" s="24"/>
      <c r="W152" s="60">
        <v>1.8</v>
      </c>
      <c r="X152" s="89">
        <f>'CZ03 Factors'!D69</f>
        <v>0.15</v>
      </c>
      <c r="Y152" s="90">
        <f>'CZ03 Factors'!E69</f>
        <v>0.18978076062639823</v>
      </c>
      <c r="Z152" s="91">
        <f>'CZ03 Factors'!F69</f>
        <v>0.20900000000000002</v>
      </c>
      <c r="AA152" s="90">
        <f>'CZ03 Factors'!G69</f>
        <v>0.28279166666666666</v>
      </c>
      <c r="AB152" s="91">
        <f>'CZ03 Factors'!H69</f>
        <v>0.36</v>
      </c>
      <c r="AC152" s="90">
        <f>'CZ03 Factors'!I69</f>
        <v>0.35777777777777775</v>
      </c>
      <c r="AD152" s="91">
        <f>'CZ03 Factors'!J69</f>
        <v>0.312</v>
      </c>
      <c r="AE152" s="92">
        <f>'CZ03 Factors'!K69</f>
        <v>0.33616452991452989</v>
      </c>
      <c r="AF152" s="24"/>
      <c r="AG152" s="60">
        <v>1.8</v>
      </c>
      <c r="AH152" s="89">
        <f>'CZ04 Factors'!D69</f>
        <v>0.18200000000000002</v>
      </c>
      <c r="AI152" s="90">
        <f>'CZ04 Factors'!E69</f>
        <v>0.26045253863134654</v>
      </c>
      <c r="AJ152" s="91">
        <f>'CZ04 Factors'!F69</f>
        <v>0.3</v>
      </c>
      <c r="AK152" s="90">
        <f>'CZ04 Factors'!G69</f>
        <v>0.23511111111111108</v>
      </c>
      <c r="AL152" s="91">
        <f>'CZ04 Factors'!H69</f>
        <v>0.22400000000000003</v>
      </c>
      <c r="AM152" s="90">
        <f>'CZ04 Factors'!I69</f>
        <v>0.28888888888888886</v>
      </c>
      <c r="AN152" s="91">
        <f>'CZ04 Factors'!J69</f>
        <v>0.28799999999999998</v>
      </c>
      <c r="AO152" s="92">
        <f>'CZ04 Factors'!K69</f>
        <v>0.28808278867102399</v>
      </c>
      <c r="AP152" s="24"/>
      <c r="AQ152" s="60">
        <v>1.8</v>
      </c>
      <c r="AR152" s="89">
        <f>'CZ05 Factors'!D69</f>
        <v>0.17600000000000002</v>
      </c>
      <c r="AS152" s="90">
        <f>'CZ05 Factors'!E69</f>
        <v>0.20326576576576577</v>
      </c>
      <c r="AT152" s="91">
        <f>'CZ05 Factors'!F69</f>
        <v>0.20800000000000002</v>
      </c>
      <c r="AU152" s="90">
        <f>'CZ05 Factors'!G69</f>
        <v>0.21811111111111114</v>
      </c>
      <c r="AV152" s="91">
        <f>'CZ05 Factors'!H69</f>
        <v>0.182</v>
      </c>
      <c r="AW152" s="90">
        <f>'CZ05 Factors'!I69</f>
        <v>0.31788888888888889</v>
      </c>
      <c r="AX152" s="91">
        <f>'CZ05 Factors'!J69</f>
        <v>0.28000000000000003</v>
      </c>
      <c r="AY152" s="92">
        <f>'CZ05 Factors'!K69</f>
        <v>0.2974514767932489</v>
      </c>
      <c r="AZ152" s="203"/>
      <c r="BA152" s="60">
        <v>1.8</v>
      </c>
      <c r="BB152" s="89">
        <f>'CZ05 BC Factors'!D69</f>
        <v>0.187</v>
      </c>
      <c r="BC152" s="90">
        <f>'CZ05 BC Factors'!E69</f>
        <v>0.20892454954954953</v>
      </c>
      <c r="BD152" s="91">
        <f>'CZ05 BC Factors'!F69</f>
        <v>0.20800000000000002</v>
      </c>
      <c r="BE152" s="90">
        <f>'CZ05 BC Factors'!G69</f>
        <v>0.20988888888888885</v>
      </c>
      <c r="BF152" s="91">
        <f>'CZ05 BC Factors'!H69</f>
        <v>0.16800000000000001</v>
      </c>
      <c r="BG152" s="90">
        <f>'CZ05 BC Factors'!I69</f>
        <v>0.31377777777777777</v>
      </c>
      <c r="BH152" s="91">
        <f>'CZ05 BC Factors'!J69</f>
        <v>0.28000000000000003</v>
      </c>
      <c r="BI152" s="92">
        <f>'CZ05 BC Factors'!K69</f>
        <v>0.31102109704641345</v>
      </c>
      <c r="BJ152" s="24"/>
      <c r="BK152" s="60">
        <v>1.8</v>
      </c>
      <c r="BL152" s="89">
        <f>'CZ06 Factors'!D67</f>
        <v>0.27200000000000002</v>
      </c>
      <c r="BM152" s="90">
        <f>'CZ06 Factors'!E67</f>
        <v>0.27517482517482517</v>
      </c>
      <c r="BN152" s="91">
        <f>'CZ06 Factors'!F67</f>
        <v>0.30449999999999994</v>
      </c>
      <c r="BO152" s="90">
        <f>'CZ06 Factors'!G67</f>
        <v>0.22285925925925923</v>
      </c>
      <c r="BP152" s="91">
        <f>'CZ06 Factors'!H67</f>
        <v>0.17249999999999999</v>
      </c>
      <c r="BQ152" s="90">
        <f>'CZ06 Factors'!I67</f>
        <v>0.27942962962962969</v>
      </c>
      <c r="BR152" s="91">
        <f>'CZ06 Factors'!J67</f>
        <v>0.33750000000000002</v>
      </c>
      <c r="BS152" s="92">
        <f>'CZ06 Factors'!K67</f>
        <v>0.37734204793028325</v>
      </c>
      <c r="BT152" s="24"/>
      <c r="BU152" s="60">
        <v>1.8</v>
      </c>
      <c r="BV152" s="89">
        <f>'CZ07 Factors'!D69</f>
        <v>0.46800000000000003</v>
      </c>
      <c r="BW152" s="90">
        <f>'CZ07 Factors'!E69</f>
        <v>0.4112740286298569</v>
      </c>
      <c r="BX152" s="91">
        <f>'CZ07 Factors'!F69</f>
        <v>0.34799999999999998</v>
      </c>
      <c r="BY152" s="90">
        <f>'CZ07 Factors'!G69</f>
        <v>0.23721052631578943</v>
      </c>
      <c r="BZ152" s="91">
        <f>'CZ07 Factors'!H69</f>
        <v>0.19499999999999998</v>
      </c>
      <c r="CA152" s="90">
        <f>'CZ07 Factors'!I69</f>
        <v>0.29210526315789476</v>
      </c>
      <c r="CB152" s="91">
        <f>'CZ07 Factors'!J69</f>
        <v>0.34500000000000003</v>
      </c>
      <c r="CC152" s="92">
        <f>'CZ07 Factors'!K69</f>
        <v>0.42198000000000002</v>
      </c>
      <c r="CD152" s="24"/>
      <c r="CE152" s="60">
        <v>1.8</v>
      </c>
      <c r="CF152" s="89">
        <f>'CZ08 Factors'!D69</f>
        <v>0.1656</v>
      </c>
      <c r="CG152" s="90">
        <f>'CZ08 Factors'!E69</f>
        <v>0.24087567567567572</v>
      </c>
      <c r="CH152" s="91">
        <f>'CZ08 Factors'!F69</f>
        <v>0.28499999999999998</v>
      </c>
      <c r="CI152" s="90">
        <f>'CZ08 Factors'!G69</f>
        <v>0.23680851063829794</v>
      </c>
      <c r="CJ152" s="91">
        <f>'CZ08 Factors'!H69</f>
        <v>0.20800000000000005</v>
      </c>
      <c r="CK152" s="90">
        <f>'CZ08 Factors'!I69</f>
        <v>0.26719148936170223</v>
      </c>
      <c r="CL152" s="91">
        <f>'CZ08 Factors'!J69</f>
        <v>0.24700000000000003</v>
      </c>
      <c r="CM152" s="92">
        <f>'CZ08 Factors'!K69</f>
        <v>0.25373013698630137</v>
      </c>
    </row>
    <row r="153" spans="1:91" ht="13" x14ac:dyDescent="0.3">
      <c r="A153" s="24"/>
      <c r="C153" s="133">
        <v>2</v>
      </c>
      <c r="D153" s="49"/>
      <c r="E153" s="54"/>
      <c r="F153" s="50"/>
      <c r="G153" s="54"/>
      <c r="H153" s="50"/>
      <c r="I153" s="54"/>
      <c r="J153" s="50"/>
      <c r="K153" s="56"/>
      <c r="L153" s="24"/>
      <c r="M153" s="133">
        <v>2</v>
      </c>
      <c r="N153" s="49">
        <f>'CZ02 Factors'!D70</f>
        <v>0.13500000000000001</v>
      </c>
      <c r="O153" s="54">
        <f>'CZ02 Factors'!E70</f>
        <v>0.17953240740740742</v>
      </c>
      <c r="P153" s="50">
        <f>'CZ02 Factors'!F70</f>
        <v>0.23800000000000002</v>
      </c>
      <c r="Q153" s="54">
        <f>'CZ02 Factors'!G70</f>
        <v>0.15740000000000001</v>
      </c>
      <c r="R153" s="50">
        <f>'CZ02 Factors'!H70</f>
        <v>7.0000000000000007E-2</v>
      </c>
      <c r="S153" s="54">
        <f>'CZ02 Factors'!I70</f>
        <v>0.26961788617886179</v>
      </c>
      <c r="T153" s="50">
        <f>'CZ02 Factors'!J70</f>
        <v>0.28600000000000003</v>
      </c>
      <c r="U153" s="56">
        <f>'CZ02 Factors'!K70</f>
        <v>0.27553378378378385</v>
      </c>
      <c r="V153" s="24"/>
      <c r="W153" s="133">
        <v>2</v>
      </c>
      <c r="X153" s="49">
        <f>'CZ03 Factors'!D70</f>
        <v>0.13</v>
      </c>
      <c r="Y153" s="54">
        <f>'CZ03 Factors'!E70</f>
        <v>0.18978076062639823</v>
      </c>
      <c r="Z153" s="50">
        <f>'CZ03 Factors'!F70</f>
        <v>0.19800000000000001</v>
      </c>
      <c r="AA153" s="54">
        <f>'CZ03 Factors'!G70</f>
        <v>0.25708333333333333</v>
      </c>
      <c r="AB153" s="50">
        <f>'CZ03 Factors'!H70</f>
        <v>0.36</v>
      </c>
      <c r="AC153" s="54">
        <f>'CZ03 Factors'!I70</f>
        <v>0.35777777777777775</v>
      </c>
      <c r="AD153" s="50">
        <f>'CZ03 Factors'!J70</f>
        <v>0.28599999999999998</v>
      </c>
      <c r="AE153" s="56">
        <f>'CZ03 Factors'!K70</f>
        <v>0.29278846153846155</v>
      </c>
      <c r="AF153" s="24"/>
      <c r="AG153" s="133">
        <v>2</v>
      </c>
      <c r="AH153" s="49">
        <f>'CZ04 Factors'!D70</f>
        <v>0.16799999999999998</v>
      </c>
      <c r="AI153" s="54">
        <f>'CZ04 Factors'!E70</f>
        <v>0.23812803532008828</v>
      </c>
      <c r="AJ153" s="50">
        <f>'CZ04 Factors'!F70</f>
        <v>0.26400000000000001</v>
      </c>
      <c r="AK153" s="54">
        <f>'CZ04 Factors'!G70</f>
        <v>0.21702564102564098</v>
      </c>
      <c r="AL153" s="50">
        <f>'CZ04 Factors'!H70</f>
        <v>0.20799999999999999</v>
      </c>
      <c r="AM153" s="54">
        <f>'CZ04 Factors'!I70</f>
        <v>0.26666666666666666</v>
      </c>
      <c r="AN153" s="50">
        <f>'CZ04 Factors'!J70</f>
        <v>0.26400000000000001</v>
      </c>
      <c r="AO153" s="56">
        <f>'CZ04 Factors'!K70</f>
        <v>0.23869716775599129</v>
      </c>
      <c r="AP153" s="24"/>
      <c r="AQ153" s="133">
        <v>2</v>
      </c>
      <c r="AR153" s="49">
        <f>'CZ05 Factors'!D70</f>
        <v>0.14399999999999999</v>
      </c>
      <c r="AS153" s="54">
        <f>'CZ05 Factors'!E70</f>
        <v>0.15448198198198199</v>
      </c>
      <c r="AT153" s="50">
        <f>'CZ05 Factors'!F70</f>
        <v>0.19500000000000001</v>
      </c>
      <c r="AU153" s="54">
        <f>'CZ05 Factors'!G70</f>
        <v>0.20133333333333334</v>
      </c>
      <c r="AV153" s="50">
        <f>'CZ05 Factors'!H70</f>
        <v>0.182</v>
      </c>
      <c r="AW153" s="54">
        <f>'CZ05 Factors'!I70</f>
        <v>0.29343589743589737</v>
      </c>
      <c r="AX153" s="50">
        <f>'CZ05 Factors'!J70</f>
        <v>0.26600000000000001</v>
      </c>
      <c r="AY153" s="56">
        <f>'CZ05 Factors'!K70</f>
        <v>0.22308860759493665</v>
      </c>
      <c r="AZ153" s="202"/>
      <c r="BA153" s="133">
        <v>2</v>
      </c>
      <c r="BB153" s="49">
        <f>'CZ05 BC Factors'!D70</f>
        <v>0.153</v>
      </c>
      <c r="BC153" s="54">
        <f>'CZ05 BC Factors'!E70</f>
        <v>0.15878265765765764</v>
      </c>
      <c r="BD153" s="50">
        <f>'CZ05 BC Factors'!F70</f>
        <v>0.19500000000000001</v>
      </c>
      <c r="BE153" s="54">
        <f>'CZ05 BC Factors'!G70</f>
        <v>0.19374358974358971</v>
      </c>
      <c r="BF153" s="50">
        <f>'CZ05 BC Factors'!H70</f>
        <v>0.16800000000000001</v>
      </c>
      <c r="BG153" s="54">
        <f>'CZ05 BC Factors'!I70</f>
        <v>0.28964102564102562</v>
      </c>
      <c r="BH153" s="50">
        <f>'CZ05 BC Factors'!J70</f>
        <v>0.26600000000000001</v>
      </c>
      <c r="BI153" s="56">
        <f>'CZ05 BC Factors'!K70</f>
        <v>0.23326582278481006</v>
      </c>
      <c r="BJ153" s="24"/>
      <c r="BK153" s="133">
        <v>2</v>
      </c>
      <c r="BL153" s="49">
        <f>'CZ06 Factors'!D68</f>
        <v>0.21249999999999999</v>
      </c>
      <c r="BM153" s="54">
        <f>'CZ06 Factors'!E68</f>
        <v>0.24765734265734266</v>
      </c>
      <c r="BN153" s="50">
        <f>'CZ06 Factors'!F68</f>
        <v>0.28999999999999998</v>
      </c>
      <c r="BO153" s="54">
        <f>'CZ06 Factors'!G68</f>
        <v>0.20694074074074073</v>
      </c>
      <c r="BP153" s="50">
        <f>'CZ06 Factors'!H68</f>
        <v>0.161</v>
      </c>
      <c r="BQ153" s="54">
        <f>'CZ06 Factors'!I68</f>
        <v>0.27942962962962969</v>
      </c>
      <c r="BR153" s="50">
        <f>'CZ06 Factors'!J68</f>
        <v>0.3</v>
      </c>
      <c r="BS153" s="56">
        <f>'CZ06 Factors'!K68</f>
        <v>0.30187363834422659</v>
      </c>
      <c r="BT153" s="24"/>
      <c r="BU153" s="133">
        <v>2</v>
      </c>
      <c r="BV153" s="49">
        <f>'CZ07 Factors'!D70</f>
        <v>0.35100000000000003</v>
      </c>
      <c r="BW153" s="54">
        <f>'CZ07 Factors'!E70</f>
        <v>0.3412699386503068</v>
      </c>
      <c r="BX153" s="50">
        <f>'CZ07 Factors'!F70</f>
        <v>0.34799999999999998</v>
      </c>
      <c r="BY153" s="54">
        <f>'CZ07 Factors'!G70</f>
        <v>0.21744298245614033</v>
      </c>
      <c r="BZ153" s="50">
        <f>'CZ07 Factors'!H70</f>
        <v>0.17999999999999997</v>
      </c>
      <c r="CA153" s="54">
        <f>'CZ07 Factors'!I70</f>
        <v>0.29210526315789476</v>
      </c>
      <c r="CB153" s="50">
        <f>'CZ07 Factors'!J70</f>
        <v>0.3</v>
      </c>
      <c r="CC153" s="56">
        <f>'CZ07 Factors'!K70</f>
        <v>0.35705999999999999</v>
      </c>
      <c r="CD153" s="24"/>
      <c r="CE153" s="133">
        <v>2</v>
      </c>
      <c r="CF153" s="49">
        <f>'CZ08 Factors'!D70</f>
        <v>0.1368</v>
      </c>
      <c r="CG153" s="54">
        <f>'CZ08 Factors'!E70</f>
        <v>0.21506756756756759</v>
      </c>
      <c r="CH153" s="50">
        <f>'CZ08 Factors'!F70</f>
        <v>0.24</v>
      </c>
      <c r="CI153" s="54">
        <f>'CZ08 Factors'!G70</f>
        <v>0.23680851063829794</v>
      </c>
      <c r="CJ153" s="50">
        <f>'CZ08 Factors'!H70</f>
        <v>0.19500000000000001</v>
      </c>
      <c r="CK153" s="54">
        <f>'CZ08 Factors'!I70</f>
        <v>0.26719148936170223</v>
      </c>
      <c r="CL153" s="50">
        <f>'CZ08 Factors'!J70</f>
        <v>0.22100000000000003</v>
      </c>
      <c r="CM153" s="56">
        <f>'CZ08 Factors'!K70</f>
        <v>0.2012342465753425</v>
      </c>
    </row>
  </sheetData>
  <sheetProtection selectLockedCells="1" selectUnlockedCells="1"/>
  <sortState xmlns:xlrd2="http://schemas.microsoft.com/office/spreadsheetml/2017/richdata2" ref="AV19:AW26">
    <sortCondition ref="AV19:AV26"/>
  </sortState>
  <phoneticPr fontId="2"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8"/>
  <sheetViews>
    <sheetView workbookViewId="0">
      <selection activeCell="P21" sqref="P21:X27"/>
    </sheetView>
  </sheetViews>
  <sheetFormatPr defaultColWidth="9.1796875" defaultRowHeight="12.5" x14ac:dyDescent="0.25"/>
  <cols>
    <col min="1" max="1" width="30.453125" style="266" customWidth="1"/>
    <col min="2" max="2" width="12.7265625" style="190" bestFit="1" customWidth="1"/>
    <col min="3" max="3" width="14.26953125" style="190" bestFit="1" customWidth="1"/>
    <col min="4" max="4" width="9.1796875" style="190"/>
    <col min="5" max="5" width="11" style="190" customWidth="1"/>
    <col min="6" max="7" width="12.453125" style="190" customWidth="1"/>
    <col min="8" max="8" width="9.453125" style="190" bestFit="1" customWidth="1"/>
    <col min="9" max="12" width="9.1796875" style="190"/>
    <col min="13" max="13" width="62.81640625" style="190" bestFit="1" customWidth="1"/>
    <col min="14" max="15" width="9.1796875" style="190"/>
    <col min="16" max="16" width="54.453125" style="190" bestFit="1" customWidth="1"/>
    <col min="17" max="18" width="12.81640625" style="190" bestFit="1" customWidth="1"/>
    <col min="19" max="16384" width="9.1796875" style="190"/>
  </cols>
  <sheetData>
    <row r="1" spans="1:32" s="266" customFormat="1" x14ac:dyDescent="0.25">
      <c r="A1" s="314" t="s">
        <v>328</v>
      </c>
      <c r="B1" s="265" t="s">
        <v>329</v>
      </c>
      <c r="M1" s="827" t="s">
        <v>330</v>
      </c>
      <c r="N1" s="827"/>
      <c r="O1" s="267"/>
      <c r="P1" s="828" t="s">
        <v>331</v>
      </c>
      <c r="Q1" s="828"/>
      <c r="R1" s="267"/>
      <c r="S1" s="190"/>
      <c r="T1" s="190"/>
      <c r="U1" s="190"/>
      <c r="V1" s="267"/>
      <c r="W1" s="267"/>
      <c r="X1" s="267"/>
      <c r="Y1" s="267"/>
      <c r="Z1" s="267"/>
      <c r="AA1" s="267"/>
      <c r="AB1" s="267"/>
      <c r="AC1" s="267"/>
      <c r="AD1" s="267"/>
      <c r="AE1" s="267"/>
      <c r="AF1" s="267"/>
    </row>
    <row r="2" spans="1:32" s="266" customFormat="1" ht="39" x14ac:dyDescent="0.25">
      <c r="B2" s="268" t="s">
        <v>332</v>
      </c>
      <c r="C2" s="269" t="s">
        <v>333</v>
      </c>
      <c r="D2" s="270" t="s">
        <v>277</v>
      </c>
      <c r="E2" s="270" t="s">
        <v>278</v>
      </c>
      <c r="F2" s="270" t="s">
        <v>279</v>
      </c>
      <c r="G2" s="270" t="s">
        <v>280</v>
      </c>
      <c r="H2" s="270" t="s">
        <v>281</v>
      </c>
      <c r="I2" s="270" t="s">
        <v>282</v>
      </c>
      <c r="J2" s="270" t="s">
        <v>283</v>
      </c>
      <c r="K2" s="271" t="s">
        <v>284</v>
      </c>
      <c r="M2" s="267"/>
      <c r="N2" s="267"/>
      <c r="O2" s="267"/>
      <c r="P2" s="267"/>
      <c r="Q2" s="267"/>
      <c r="R2" s="267"/>
      <c r="S2" s="190"/>
      <c r="T2" s="190"/>
      <c r="U2" s="190"/>
      <c r="V2" s="267"/>
      <c r="W2" s="267"/>
      <c r="X2" s="267"/>
      <c r="Y2" s="267"/>
      <c r="Z2" s="267"/>
      <c r="AA2" s="267"/>
      <c r="AB2" s="267"/>
      <c r="AC2" s="267"/>
      <c r="AD2" s="267"/>
      <c r="AE2" s="267"/>
      <c r="AF2" s="267"/>
    </row>
    <row r="3" spans="1:32" s="266" customFormat="1" x14ac:dyDescent="0.25">
      <c r="B3" s="272">
        <v>0</v>
      </c>
      <c r="C3" s="273">
        <v>0</v>
      </c>
      <c r="D3" s="273">
        <v>1.3520000000000001</v>
      </c>
      <c r="E3" s="273">
        <v>1.6421999999999999</v>
      </c>
      <c r="F3" s="273">
        <v>1.6899000000000002</v>
      </c>
      <c r="G3" s="273">
        <v>1.6182000000000001</v>
      </c>
      <c r="H3" s="273">
        <v>1.131</v>
      </c>
      <c r="I3" s="273">
        <v>1.651</v>
      </c>
      <c r="J3" s="273">
        <v>1.7160000000000002</v>
      </c>
      <c r="K3" s="274">
        <v>1.6575000000000002</v>
      </c>
      <c r="M3" s="267"/>
      <c r="N3" s="267"/>
      <c r="O3" s="267"/>
      <c r="P3" s="267"/>
      <c r="Q3" s="267"/>
      <c r="R3" s="267"/>
      <c r="S3" s="190"/>
      <c r="T3" s="190"/>
      <c r="U3" s="190"/>
      <c r="V3" s="267"/>
      <c r="W3" s="267"/>
      <c r="X3" s="267"/>
      <c r="Y3" s="267"/>
      <c r="Z3" s="267"/>
      <c r="AA3" s="267"/>
      <c r="AB3" s="267"/>
      <c r="AC3" s="267"/>
      <c r="AD3" s="267"/>
      <c r="AE3" s="267"/>
      <c r="AF3" s="267"/>
    </row>
    <row r="4" spans="1:32" s="266" customFormat="1" ht="13" x14ac:dyDescent="0.25">
      <c r="B4" s="275">
        <v>105</v>
      </c>
      <c r="C4" s="276">
        <v>0.05</v>
      </c>
      <c r="D4" s="276">
        <v>1.1440000000000001</v>
      </c>
      <c r="E4" s="276">
        <v>1.4466999999999999</v>
      </c>
      <c r="F4" s="276">
        <v>1.5589000000000002</v>
      </c>
      <c r="G4" s="276">
        <v>1.47465</v>
      </c>
      <c r="H4" s="276">
        <v>0.97500000000000009</v>
      </c>
      <c r="I4" s="276">
        <v>1.5209999999999999</v>
      </c>
      <c r="J4" s="276">
        <v>1.5990000000000002</v>
      </c>
      <c r="K4" s="277">
        <v>1.4625000000000001</v>
      </c>
      <c r="M4" s="304" t="s">
        <v>334</v>
      </c>
      <c r="N4" s="271" t="s">
        <v>335</v>
      </c>
      <c r="O4" s="267"/>
      <c r="P4" s="304" t="s">
        <v>336</v>
      </c>
      <c r="Q4" s="271" t="s">
        <v>337</v>
      </c>
      <c r="R4" s="267"/>
      <c r="S4" s="190"/>
      <c r="T4" s="190"/>
      <c r="U4" s="190"/>
      <c r="V4" s="267"/>
      <c r="W4" s="267"/>
      <c r="X4" s="267"/>
      <c r="Y4" s="267"/>
      <c r="Z4" s="267"/>
      <c r="AA4" s="267"/>
      <c r="AB4" s="267"/>
      <c r="AC4" s="267"/>
      <c r="AD4" s="267"/>
      <c r="AE4" s="267"/>
      <c r="AF4" s="267"/>
    </row>
    <row r="5" spans="1:32" s="266" customFormat="1" x14ac:dyDescent="0.25">
      <c r="B5" s="272">
        <v>210</v>
      </c>
      <c r="C5" s="273">
        <v>0.1</v>
      </c>
      <c r="D5" s="273">
        <v>1.0660000000000001</v>
      </c>
      <c r="E5" s="273">
        <v>1.3294000000000001</v>
      </c>
      <c r="F5" s="273">
        <v>1.4541000000000004</v>
      </c>
      <c r="G5" s="273">
        <v>1.39635</v>
      </c>
      <c r="H5" s="273">
        <v>0.88400000000000001</v>
      </c>
      <c r="I5" s="273">
        <v>1.417</v>
      </c>
      <c r="J5" s="273">
        <v>1.4949999999999999</v>
      </c>
      <c r="K5" s="274">
        <v>1.3455000000000001</v>
      </c>
      <c r="M5" s="278" t="s">
        <v>338</v>
      </c>
      <c r="N5" s="279">
        <v>0.6</v>
      </c>
      <c r="O5" s="267"/>
      <c r="P5" s="278" t="s">
        <v>339</v>
      </c>
      <c r="Q5" s="280">
        <v>6.7212360090037948E-2</v>
      </c>
      <c r="R5" s="267"/>
      <c r="S5" s="190"/>
      <c r="T5" s="190"/>
      <c r="U5" s="190"/>
      <c r="V5" s="267"/>
      <c r="W5" s="267"/>
      <c r="X5" s="267"/>
      <c r="Y5" s="267"/>
      <c r="Z5" s="267"/>
      <c r="AA5" s="267"/>
      <c r="AB5" s="267"/>
      <c r="AC5" s="267"/>
      <c r="AD5" s="267"/>
      <c r="AE5" s="267"/>
      <c r="AF5" s="267"/>
    </row>
    <row r="6" spans="1:32" s="266" customFormat="1" x14ac:dyDescent="0.25">
      <c r="B6" s="275">
        <v>420</v>
      </c>
      <c r="C6" s="276">
        <v>0.2</v>
      </c>
      <c r="D6" s="276">
        <v>0.96199999999999997</v>
      </c>
      <c r="E6" s="276">
        <v>1.1534499999999999</v>
      </c>
      <c r="F6" s="276">
        <v>1.3230999999999999</v>
      </c>
      <c r="G6" s="276">
        <v>1.2267000000000001</v>
      </c>
      <c r="H6" s="276">
        <v>0.71499999999999997</v>
      </c>
      <c r="I6" s="276">
        <v>1.2219999999999998</v>
      </c>
      <c r="J6" s="276">
        <v>1.3</v>
      </c>
      <c r="K6" s="277">
        <v>1.1700000000000002</v>
      </c>
      <c r="M6" s="281" t="s">
        <v>340</v>
      </c>
      <c r="N6" s="282">
        <v>1.2</v>
      </c>
      <c r="O6" s="267"/>
      <c r="P6" s="281" t="s">
        <v>341</v>
      </c>
      <c r="Q6" s="283">
        <v>7.1833186922944811E-2</v>
      </c>
      <c r="R6" s="267"/>
      <c r="S6" s="190"/>
      <c r="T6" s="190"/>
      <c r="U6" s="190"/>
      <c r="V6" s="267"/>
      <c r="W6" s="267"/>
      <c r="X6" s="267"/>
      <c r="Y6" s="267"/>
      <c r="Z6" s="267"/>
      <c r="AA6" s="267"/>
      <c r="AB6" s="267"/>
      <c r="AC6" s="267"/>
      <c r="AD6" s="267"/>
      <c r="AE6" s="267"/>
      <c r="AF6" s="267"/>
    </row>
    <row r="7" spans="1:32" s="266" customFormat="1" x14ac:dyDescent="0.25">
      <c r="B7" s="272">
        <v>840</v>
      </c>
      <c r="C7" s="273">
        <v>0.4</v>
      </c>
      <c r="D7" s="273">
        <v>0.78</v>
      </c>
      <c r="E7" s="273">
        <v>0.87974999999999992</v>
      </c>
      <c r="F7" s="273">
        <v>1.0349000000000002</v>
      </c>
      <c r="G7" s="273">
        <v>0.90044999999999997</v>
      </c>
      <c r="H7" s="273">
        <v>0.54599999999999993</v>
      </c>
      <c r="I7" s="273">
        <v>0.97499999999999998</v>
      </c>
      <c r="J7" s="273">
        <v>1.079</v>
      </c>
      <c r="K7" s="274">
        <v>0.9165000000000002</v>
      </c>
      <c r="L7" s="266" t="s">
        <v>342</v>
      </c>
      <c r="M7" s="278" t="s">
        <v>343</v>
      </c>
      <c r="N7" s="284">
        <v>1.1499999999999999</v>
      </c>
      <c r="O7" s="267"/>
      <c r="P7" s="278" t="s">
        <v>344</v>
      </c>
      <c r="Q7" s="280">
        <v>7.6967438959507972E-2</v>
      </c>
      <c r="R7" s="267"/>
      <c r="S7" s="190"/>
      <c r="T7" s="190"/>
      <c r="U7" s="190"/>
      <c r="V7" s="267"/>
      <c r="W7" s="267"/>
      <c r="X7" s="267"/>
      <c r="Y7" s="267"/>
      <c r="Z7" s="267"/>
      <c r="AA7" s="267"/>
      <c r="AB7" s="267"/>
      <c r="AC7" s="267"/>
      <c r="AD7" s="267"/>
      <c r="AE7" s="267"/>
      <c r="AF7" s="267"/>
    </row>
    <row r="8" spans="1:32" s="266" customFormat="1" x14ac:dyDescent="0.25">
      <c r="B8" s="275">
        <v>1260</v>
      </c>
      <c r="C8" s="276">
        <v>0.6</v>
      </c>
      <c r="D8" s="276">
        <v>0.65</v>
      </c>
      <c r="E8" s="276">
        <v>0.72334999999999994</v>
      </c>
      <c r="F8" s="276">
        <v>0.86460000000000015</v>
      </c>
      <c r="G8" s="276">
        <v>0.76995000000000002</v>
      </c>
      <c r="H8" s="276">
        <v>0.442</v>
      </c>
      <c r="I8" s="276">
        <v>0.78</v>
      </c>
      <c r="J8" s="276">
        <v>0.8580000000000001</v>
      </c>
      <c r="K8" s="277">
        <v>0.7410000000000001</v>
      </c>
      <c r="L8" s="266" t="s">
        <v>345</v>
      </c>
      <c r="M8" s="281" t="s">
        <v>346</v>
      </c>
      <c r="N8" s="285">
        <v>1</v>
      </c>
      <c r="O8" s="267"/>
      <c r="P8" s="286" t="s">
        <v>347</v>
      </c>
      <c r="Q8" s="287">
        <v>8.2672163444578145E-2</v>
      </c>
      <c r="R8" s="267"/>
      <c r="S8" s="190"/>
      <c r="T8" s="190"/>
      <c r="U8" s="190"/>
      <c r="V8" s="267"/>
      <c r="W8" s="267"/>
      <c r="X8" s="267"/>
      <c r="Y8" s="267"/>
      <c r="Z8" s="267"/>
      <c r="AA8" s="267"/>
      <c r="AB8" s="267"/>
      <c r="AC8" s="267"/>
      <c r="AD8" s="267"/>
      <c r="AE8" s="267"/>
      <c r="AF8" s="267"/>
    </row>
    <row r="9" spans="1:32" s="266" customFormat="1" x14ac:dyDescent="0.25">
      <c r="B9" s="272">
        <v>1680</v>
      </c>
      <c r="C9" s="273">
        <v>0.8</v>
      </c>
      <c r="D9" s="273">
        <v>0.57200000000000006</v>
      </c>
      <c r="E9" s="273">
        <v>0.60604999999999998</v>
      </c>
      <c r="F9" s="273">
        <v>0.69430000000000014</v>
      </c>
      <c r="G9" s="273">
        <v>0.61335000000000006</v>
      </c>
      <c r="H9" s="273">
        <v>0.38999999999999996</v>
      </c>
      <c r="I9" s="273">
        <v>0.67600000000000005</v>
      </c>
      <c r="J9" s="273">
        <v>0.754</v>
      </c>
      <c r="K9" s="274">
        <v>0.62400000000000011</v>
      </c>
      <c r="L9" s="266" t="s">
        <v>348</v>
      </c>
      <c r="M9" s="278" t="s">
        <v>349</v>
      </c>
      <c r="N9" s="284">
        <v>0.90781913797078717</v>
      </c>
      <c r="O9" s="267"/>
      <c r="P9" s="267"/>
      <c r="Q9" s="267"/>
      <c r="R9" s="267"/>
      <c r="S9" s="190"/>
      <c r="T9" s="190"/>
      <c r="U9" s="190"/>
      <c r="V9" s="267"/>
      <c r="W9" s="267"/>
      <c r="X9" s="267"/>
      <c r="Y9" s="267"/>
      <c r="Z9" s="267"/>
      <c r="AA9" s="267"/>
      <c r="AB9" s="267"/>
      <c r="AC9" s="267"/>
      <c r="AD9" s="267"/>
      <c r="AE9" s="267"/>
      <c r="AF9" s="267"/>
    </row>
    <row r="10" spans="1:32" s="266" customFormat="1" x14ac:dyDescent="0.25">
      <c r="B10" s="275">
        <v>2100</v>
      </c>
      <c r="C10" s="276">
        <v>1</v>
      </c>
      <c r="D10" s="276">
        <v>0.49399999999999999</v>
      </c>
      <c r="E10" s="276">
        <v>0.50829999999999997</v>
      </c>
      <c r="F10" s="276">
        <v>0.58950000000000002</v>
      </c>
      <c r="G10" s="276">
        <v>0.53505000000000003</v>
      </c>
      <c r="H10" s="276">
        <v>0.32499999999999996</v>
      </c>
      <c r="I10" s="276">
        <v>0.55900000000000005</v>
      </c>
      <c r="J10" s="276">
        <v>0.624</v>
      </c>
      <c r="K10" s="277">
        <v>0.54600000000000015</v>
      </c>
      <c r="M10" s="286" t="s">
        <v>350</v>
      </c>
      <c r="N10" s="288">
        <v>0.75</v>
      </c>
      <c r="O10" s="267"/>
      <c r="P10" s="267"/>
      <c r="Q10" s="267"/>
      <c r="R10" s="267"/>
      <c r="S10" s="190"/>
      <c r="T10" s="190"/>
      <c r="U10" s="190"/>
      <c r="V10" s="267"/>
      <c r="W10" s="267"/>
      <c r="X10" s="267"/>
      <c r="Y10" s="267"/>
      <c r="Z10" s="267"/>
      <c r="AA10" s="267"/>
      <c r="AB10" s="267"/>
      <c r="AC10" s="267"/>
      <c r="AD10" s="267"/>
      <c r="AE10" s="267"/>
      <c r="AF10" s="267"/>
    </row>
    <row r="11" spans="1:32" s="266" customFormat="1" x14ac:dyDescent="0.25">
      <c r="B11" s="272">
        <v>2520</v>
      </c>
      <c r="C11" s="273">
        <v>1.2</v>
      </c>
      <c r="D11" s="273">
        <v>0.46800000000000003</v>
      </c>
      <c r="E11" s="273">
        <v>0.44964999999999999</v>
      </c>
      <c r="F11" s="273">
        <v>0.48470000000000008</v>
      </c>
      <c r="G11" s="273">
        <v>0.43065000000000009</v>
      </c>
      <c r="H11" s="273">
        <v>0.28600000000000003</v>
      </c>
      <c r="I11" s="273">
        <v>0.50700000000000001</v>
      </c>
      <c r="J11" s="273">
        <v>0.54600000000000004</v>
      </c>
      <c r="K11" s="274">
        <v>0.50700000000000012</v>
      </c>
      <c r="M11" s="267" t="s">
        <v>351</v>
      </c>
      <c r="N11" s="267"/>
      <c r="O11" s="267"/>
      <c r="P11" s="267"/>
      <c r="Q11" s="267"/>
      <c r="R11" s="267"/>
      <c r="S11" s="190"/>
      <c r="T11" s="190"/>
      <c r="U11" s="190"/>
      <c r="V11" s="267"/>
      <c r="W11" s="267"/>
      <c r="X11" s="267"/>
      <c r="Y11" s="267"/>
      <c r="Z11" s="267"/>
      <c r="AA11" s="267"/>
      <c r="AB11" s="267"/>
      <c r="AC11" s="267"/>
      <c r="AD11" s="267"/>
      <c r="AE11" s="267"/>
      <c r="AF11" s="267"/>
    </row>
    <row r="12" spans="1:32" s="266" customFormat="1" x14ac:dyDescent="0.25">
      <c r="B12" s="275">
        <v>2940</v>
      </c>
      <c r="C12" s="276">
        <v>1.4</v>
      </c>
      <c r="D12" s="276">
        <v>0.44200000000000006</v>
      </c>
      <c r="E12" s="276">
        <v>0.41054999999999997</v>
      </c>
      <c r="F12" s="276">
        <v>0.41920000000000002</v>
      </c>
      <c r="G12" s="276">
        <v>0.39149999999999996</v>
      </c>
      <c r="H12" s="276">
        <v>0.28600000000000003</v>
      </c>
      <c r="I12" s="276">
        <v>0.41599999999999998</v>
      </c>
      <c r="J12" s="276">
        <v>0.48099999999999998</v>
      </c>
      <c r="K12" s="277">
        <v>0.4290000000000001</v>
      </c>
      <c r="M12" s="267"/>
      <c r="N12" s="267"/>
      <c r="O12" s="267"/>
      <c r="P12" s="267"/>
      <c r="Q12" s="267"/>
      <c r="R12" s="267"/>
      <c r="S12" s="190"/>
      <c r="T12" s="190"/>
      <c r="U12" s="190"/>
      <c r="V12" s="267"/>
      <c r="W12" s="267"/>
      <c r="X12" s="267"/>
      <c r="Y12" s="267"/>
      <c r="Z12" s="267"/>
      <c r="AA12" s="267"/>
      <c r="AB12" s="267"/>
      <c r="AC12" s="267"/>
      <c r="AD12" s="267"/>
      <c r="AE12" s="267"/>
      <c r="AF12" s="267"/>
    </row>
    <row r="13" spans="1:32" s="266" customFormat="1" x14ac:dyDescent="0.25">
      <c r="B13" s="272">
        <v>3360</v>
      </c>
      <c r="C13" s="273">
        <v>1.6</v>
      </c>
      <c r="D13" s="273">
        <v>0.39</v>
      </c>
      <c r="E13" s="273">
        <v>0.35189999999999994</v>
      </c>
      <c r="F13" s="273">
        <v>0.36680000000000007</v>
      </c>
      <c r="G13" s="273">
        <v>0.33930000000000005</v>
      </c>
      <c r="H13" s="273">
        <v>0.23399999999999999</v>
      </c>
      <c r="I13" s="273">
        <v>0.377</v>
      </c>
      <c r="J13" s="273">
        <v>0.44200000000000006</v>
      </c>
      <c r="K13" s="274">
        <v>0.40950000000000009</v>
      </c>
      <c r="M13" s="286" t="s">
        <v>350</v>
      </c>
      <c r="N13" s="288">
        <v>0.75186507055881702</v>
      </c>
      <c r="O13" s="267"/>
      <c r="P13" s="267"/>
      <c r="Q13" s="267"/>
      <c r="R13" s="267"/>
      <c r="S13" s="190"/>
      <c r="T13" s="190"/>
      <c r="U13" s="190"/>
      <c r="V13" s="267"/>
      <c r="W13" s="267"/>
      <c r="X13" s="267"/>
      <c r="Y13" s="267"/>
      <c r="Z13" s="267"/>
      <c r="AA13" s="267"/>
      <c r="AB13" s="267"/>
      <c r="AC13" s="267"/>
      <c r="AD13" s="267"/>
      <c r="AE13" s="267"/>
      <c r="AF13" s="267"/>
    </row>
    <row r="14" spans="1:32" s="266" customFormat="1" ht="13" thickBot="1" x14ac:dyDescent="0.3">
      <c r="B14" s="275">
        <v>3780</v>
      </c>
      <c r="C14" s="276">
        <v>1.8</v>
      </c>
      <c r="D14" s="276">
        <v>0.33800000000000002</v>
      </c>
      <c r="E14" s="276">
        <v>0.35189999999999994</v>
      </c>
      <c r="F14" s="276">
        <v>0.35370000000000007</v>
      </c>
      <c r="G14" s="276">
        <v>0.28710000000000002</v>
      </c>
      <c r="H14" s="276">
        <v>0.221</v>
      </c>
      <c r="I14" s="276">
        <v>0.36400000000000005</v>
      </c>
      <c r="J14" s="276">
        <v>0.39</v>
      </c>
      <c r="K14" s="277">
        <v>0.35100000000000003</v>
      </c>
      <c r="M14" s="267" t="s">
        <v>352</v>
      </c>
      <c r="N14" s="267"/>
      <c r="O14" s="267"/>
      <c r="P14" s="267"/>
      <c r="Q14" s="267"/>
      <c r="R14" s="267"/>
      <c r="S14" s="190"/>
      <c r="T14" s="190"/>
      <c r="U14" s="190"/>
      <c r="V14" s="267"/>
      <c r="W14" s="267"/>
      <c r="X14" s="267"/>
      <c r="Y14" s="267"/>
      <c r="Z14" s="267"/>
      <c r="AA14" s="267"/>
      <c r="AB14" s="267"/>
      <c r="AC14" s="267"/>
      <c r="AD14" s="267"/>
      <c r="AE14" s="267"/>
      <c r="AF14" s="267"/>
    </row>
    <row r="15" spans="1:32" s="266" customFormat="1" x14ac:dyDescent="0.25">
      <c r="B15" s="289">
        <v>4200</v>
      </c>
      <c r="C15" s="290">
        <v>2</v>
      </c>
      <c r="D15" s="290">
        <v>0.312</v>
      </c>
      <c r="E15" s="290">
        <v>0.33235000000000003</v>
      </c>
      <c r="F15" s="290">
        <v>0.30130000000000007</v>
      </c>
      <c r="G15" s="290">
        <v>0.27405000000000002</v>
      </c>
      <c r="H15" s="290">
        <v>0.20799999999999999</v>
      </c>
      <c r="I15" s="290">
        <v>0.312</v>
      </c>
      <c r="J15" s="290">
        <v>0.36400000000000005</v>
      </c>
      <c r="K15" s="291">
        <v>0.33150000000000007</v>
      </c>
      <c r="L15" s="292" t="s">
        <v>342</v>
      </c>
      <c r="M15" s="293" t="s">
        <v>343</v>
      </c>
      <c r="N15" s="324">
        <v>1.1499999999999999</v>
      </c>
      <c r="O15" s="267"/>
      <c r="P15" s="267"/>
      <c r="Q15" s="267"/>
      <c r="R15" s="267"/>
      <c r="S15" s="190"/>
      <c r="T15" s="190"/>
      <c r="U15" s="190"/>
      <c r="V15" s="267"/>
      <c r="W15" s="267"/>
      <c r="X15" s="267"/>
      <c r="Y15" s="267"/>
      <c r="Z15" s="267"/>
      <c r="AA15" s="267"/>
      <c r="AB15" s="267"/>
      <c r="AC15" s="267"/>
      <c r="AD15" s="267"/>
      <c r="AE15" s="267"/>
      <c r="AF15" s="267"/>
    </row>
    <row r="16" spans="1:32" s="266" customFormat="1" x14ac:dyDescent="0.25">
      <c r="L16" s="295" t="s">
        <v>348</v>
      </c>
      <c r="M16" s="296" t="s">
        <v>349</v>
      </c>
      <c r="N16" s="325">
        <v>0.90781913797078717</v>
      </c>
      <c r="O16" s="267"/>
      <c r="P16" s="267"/>
      <c r="Q16" s="267"/>
      <c r="R16" s="267"/>
      <c r="S16" s="190"/>
      <c r="T16" s="190"/>
      <c r="U16" s="190"/>
      <c r="V16" s="267"/>
      <c r="W16" s="267"/>
      <c r="X16" s="267"/>
      <c r="Y16" s="267"/>
      <c r="Z16" s="267"/>
      <c r="AA16" s="267"/>
      <c r="AB16" s="267"/>
      <c r="AC16" s="267"/>
      <c r="AD16" s="267"/>
      <c r="AE16" s="267"/>
      <c r="AF16" s="267"/>
    </row>
    <row r="17" spans="1:32" s="266" customFormat="1" ht="13" thickBot="1" x14ac:dyDescent="0.3">
      <c r="L17" s="298" t="s">
        <v>345</v>
      </c>
      <c r="M17" s="299" t="s">
        <v>346</v>
      </c>
      <c r="N17" s="326">
        <v>1</v>
      </c>
      <c r="O17" s="267"/>
      <c r="P17" s="267"/>
      <c r="Q17" s="267"/>
      <c r="R17" s="267"/>
      <c r="S17" s="190"/>
      <c r="T17" s="190"/>
      <c r="U17" s="190"/>
      <c r="V17" s="267"/>
      <c r="W17" s="267"/>
      <c r="X17" s="267"/>
      <c r="Y17" s="267"/>
      <c r="Z17" s="267"/>
      <c r="AA17" s="267"/>
      <c r="AB17" s="267"/>
      <c r="AC17" s="267"/>
      <c r="AD17" s="267"/>
      <c r="AE17" s="267"/>
      <c r="AF17" s="267"/>
    </row>
    <row r="18" spans="1:32" x14ac:dyDescent="0.25">
      <c r="A18" s="318" t="s">
        <v>353</v>
      </c>
      <c r="F18" s="327"/>
      <c r="G18" s="327"/>
      <c r="I18" s="328"/>
      <c r="J18" s="328"/>
      <c r="Q18" s="327"/>
      <c r="R18" s="327"/>
      <c r="AB18" s="327"/>
      <c r="AC18" s="327"/>
      <c r="AD18" s="327"/>
    </row>
    <row r="19" spans="1:32" x14ac:dyDescent="0.25">
      <c r="F19" s="327"/>
      <c r="G19" s="327"/>
      <c r="I19" s="328"/>
      <c r="J19" s="328"/>
      <c r="Q19" s="327"/>
      <c r="R19" s="327"/>
      <c r="AB19" s="327"/>
      <c r="AC19" s="327"/>
      <c r="AD19" s="327"/>
    </row>
    <row r="20" spans="1:32" s="266" customFormat="1" ht="47.25" customHeight="1" x14ac:dyDescent="0.25">
      <c r="B20" s="265" t="s">
        <v>354</v>
      </c>
      <c r="M20" s="827" t="s">
        <v>355</v>
      </c>
      <c r="N20" s="827"/>
      <c r="O20" s="267"/>
      <c r="P20" s="265" t="s">
        <v>356</v>
      </c>
      <c r="Q20" s="267"/>
      <c r="R20" s="267"/>
      <c r="S20" s="190"/>
      <c r="T20" s="190"/>
      <c r="U20" s="190"/>
      <c r="V20" s="267"/>
      <c r="W20" s="267"/>
      <c r="X20" s="267"/>
      <c r="Y20" s="267"/>
      <c r="Z20" s="267"/>
      <c r="AA20" s="267"/>
      <c r="AB20" s="267"/>
      <c r="AC20" s="267"/>
      <c r="AD20" s="267"/>
      <c r="AE20" s="267"/>
      <c r="AF20" s="267"/>
    </row>
    <row r="21" spans="1:32" s="266" customFormat="1" x14ac:dyDescent="0.25">
      <c r="M21" s="267"/>
      <c r="N21" s="267"/>
      <c r="O21" s="267"/>
      <c r="P21" s="267"/>
      <c r="Q21" s="267"/>
      <c r="R21" s="267"/>
      <c r="S21" s="190"/>
      <c r="T21" s="190"/>
      <c r="U21" s="190"/>
      <c r="V21" s="267"/>
      <c r="W21" s="267"/>
      <c r="X21" s="267"/>
      <c r="Y21" s="267"/>
      <c r="Z21" s="267"/>
      <c r="AA21" s="267"/>
      <c r="AB21" s="267"/>
      <c r="AC21" s="267"/>
      <c r="AD21" s="267"/>
      <c r="AE21" s="267"/>
      <c r="AF21" s="267"/>
    </row>
    <row r="22" spans="1:32" s="266" customFormat="1" ht="39" x14ac:dyDescent="0.25">
      <c r="B22" s="304" t="s">
        <v>332</v>
      </c>
      <c r="C22" s="269" t="s">
        <v>333</v>
      </c>
      <c r="D22" s="305" t="s">
        <v>277</v>
      </c>
      <c r="E22" s="305" t="s">
        <v>278</v>
      </c>
      <c r="F22" s="305" t="s">
        <v>279</v>
      </c>
      <c r="G22" s="305" t="s">
        <v>280</v>
      </c>
      <c r="H22" s="305" t="s">
        <v>281</v>
      </c>
      <c r="I22" s="305" t="s">
        <v>282</v>
      </c>
      <c r="J22" s="305" t="s">
        <v>283</v>
      </c>
      <c r="K22" s="306" t="s">
        <v>284</v>
      </c>
      <c r="M22" s="267"/>
      <c r="N22" s="267"/>
      <c r="O22" s="267"/>
      <c r="P22" s="267"/>
      <c r="Q22" s="267"/>
      <c r="R22" s="267"/>
      <c r="S22" s="190"/>
      <c r="T22" s="190"/>
      <c r="U22" s="190"/>
      <c r="V22" s="267"/>
      <c r="W22" s="267"/>
      <c r="X22" s="267"/>
      <c r="Y22" s="267"/>
      <c r="Z22" s="267"/>
      <c r="AA22" s="267"/>
      <c r="AB22" s="267"/>
      <c r="AC22" s="267"/>
      <c r="AD22" s="267"/>
      <c r="AE22" s="267"/>
      <c r="AF22" s="267"/>
    </row>
    <row r="23" spans="1:32" s="266" customFormat="1" ht="13" x14ac:dyDescent="0.25">
      <c r="B23" s="272">
        <v>0</v>
      </c>
      <c r="C23" s="307">
        <v>0</v>
      </c>
      <c r="D23" s="273">
        <v>0.60839999999999994</v>
      </c>
      <c r="E23" s="273">
        <v>0.9575999999999999</v>
      </c>
      <c r="F23" s="273">
        <v>1.4319000000000002</v>
      </c>
      <c r="G23" s="273">
        <v>1.1903999999999999</v>
      </c>
      <c r="H23" s="273">
        <v>0.70469999999999999</v>
      </c>
      <c r="I23" s="273">
        <v>1.1493500000000001</v>
      </c>
      <c r="J23" s="273">
        <v>1.32</v>
      </c>
      <c r="K23" s="274">
        <v>0.9222499999999999</v>
      </c>
      <c r="M23" s="304" t="s">
        <v>334</v>
      </c>
      <c r="N23" s="271" t="s">
        <v>335</v>
      </c>
      <c r="O23" s="267"/>
      <c r="P23" s="304" t="s">
        <v>336</v>
      </c>
      <c r="Q23" s="271" t="s">
        <v>337</v>
      </c>
      <c r="R23" s="267"/>
      <c r="S23" s="190"/>
      <c r="T23" s="190"/>
      <c r="U23" s="190"/>
      <c r="V23" s="267"/>
      <c r="W23" s="267"/>
      <c r="X23" s="267"/>
      <c r="Y23" s="267"/>
      <c r="Z23" s="267"/>
      <c r="AA23" s="267"/>
      <c r="AB23" s="267"/>
      <c r="AC23" s="267"/>
      <c r="AD23" s="267"/>
      <c r="AE23" s="267"/>
      <c r="AF23" s="267"/>
    </row>
    <row r="24" spans="1:32" s="266" customFormat="1" x14ac:dyDescent="0.25">
      <c r="B24" s="275">
        <v>105</v>
      </c>
      <c r="C24" s="308">
        <v>0.05</v>
      </c>
      <c r="D24" s="276">
        <v>0.51479999999999992</v>
      </c>
      <c r="E24" s="276">
        <v>0.84359999999999991</v>
      </c>
      <c r="F24" s="276">
        <v>1.3209000000000002</v>
      </c>
      <c r="G24" s="276">
        <v>1.0847999999999998</v>
      </c>
      <c r="H24" s="276">
        <v>0.60750000000000004</v>
      </c>
      <c r="I24" s="276">
        <v>1.0588500000000001</v>
      </c>
      <c r="J24" s="276">
        <v>1.23</v>
      </c>
      <c r="K24" s="277">
        <v>0.81374999999999986</v>
      </c>
      <c r="M24" s="278" t="s">
        <v>338</v>
      </c>
      <c r="N24" s="284">
        <v>0.56999999999999995</v>
      </c>
      <c r="O24" s="267"/>
      <c r="P24" s="278" t="s">
        <v>339</v>
      </c>
      <c r="Q24" s="280">
        <v>4.3094094436355757E-2</v>
      </c>
      <c r="R24" s="267"/>
      <c r="S24" s="190"/>
      <c r="T24" s="190"/>
      <c r="U24" s="190"/>
      <c r="V24" s="267"/>
      <c r="W24" s="267"/>
      <c r="X24" s="267"/>
      <c r="Y24" s="267"/>
      <c r="Z24" s="267"/>
      <c r="AA24" s="267"/>
      <c r="AB24" s="267"/>
      <c r="AC24" s="267"/>
      <c r="AD24" s="267"/>
      <c r="AE24" s="267"/>
      <c r="AF24" s="267"/>
    </row>
    <row r="25" spans="1:32" s="266" customFormat="1" x14ac:dyDescent="0.25">
      <c r="B25" s="272">
        <v>210</v>
      </c>
      <c r="C25" s="307">
        <v>0.1</v>
      </c>
      <c r="D25" s="273">
        <v>0.47969999999999996</v>
      </c>
      <c r="E25" s="273">
        <v>0.7752</v>
      </c>
      <c r="F25" s="273">
        <v>1.2321000000000002</v>
      </c>
      <c r="G25" s="273">
        <v>1.0271999999999999</v>
      </c>
      <c r="H25" s="273">
        <v>0.55080000000000007</v>
      </c>
      <c r="I25" s="273">
        <v>0.98645000000000016</v>
      </c>
      <c r="J25" s="273">
        <v>1.1499999999999999</v>
      </c>
      <c r="K25" s="274">
        <v>0.74864999999999993</v>
      </c>
      <c r="M25" s="281" t="s">
        <v>340</v>
      </c>
      <c r="N25" s="285">
        <v>1.35</v>
      </c>
      <c r="O25" s="267"/>
      <c r="P25" s="281" t="s">
        <v>341</v>
      </c>
      <c r="Q25" s="283">
        <v>4.9671538045378313E-2</v>
      </c>
      <c r="R25" s="267"/>
      <c r="S25" s="190"/>
      <c r="T25" s="190"/>
      <c r="U25" s="190"/>
      <c r="V25" s="267"/>
      <c r="W25" s="267"/>
      <c r="X25" s="267"/>
      <c r="Y25" s="267"/>
      <c r="Z25" s="267"/>
      <c r="AA25" s="267"/>
      <c r="AB25" s="267"/>
      <c r="AC25" s="267"/>
      <c r="AD25" s="267"/>
      <c r="AE25" s="267"/>
      <c r="AF25" s="267"/>
    </row>
    <row r="26" spans="1:32" s="266" customFormat="1" x14ac:dyDescent="0.25">
      <c r="B26" s="275">
        <v>420</v>
      </c>
      <c r="C26" s="308">
        <v>0.2</v>
      </c>
      <c r="D26" s="276">
        <v>0.4328999999999999</v>
      </c>
      <c r="E26" s="276">
        <v>0.67259999999999986</v>
      </c>
      <c r="F26" s="276">
        <v>1.1211</v>
      </c>
      <c r="G26" s="276">
        <v>0.90239999999999987</v>
      </c>
      <c r="H26" s="276">
        <v>0.44550000000000001</v>
      </c>
      <c r="I26" s="276">
        <v>0.85070000000000001</v>
      </c>
      <c r="J26" s="276">
        <v>1</v>
      </c>
      <c r="K26" s="277">
        <v>0.65100000000000002</v>
      </c>
      <c r="M26" s="278" t="s">
        <v>343</v>
      </c>
      <c r="N26" s="284">
        <v>1.19</v>
      </c>
      <c r="O26" s="267"/>
      <c r="P26" s="278" t="s">
        <v>344</v>
      </c>
      <c r="Q26" s="280">
        <v>5.4056500451393354E-2</v>
      </c>
      <c r="R26" s="267"/>
      <c r="S26" s="190"/>
      <c r="T26" s="190"/>
      <c r="U26" s="190"/>
      <c r="V26" s="267"/>
      <c r="W26" s="267"/>
      <c r="X26" s="267"/>
      <c r="Y26" s="267"/>
      <c r="Z26" s="267"/>
      <c r="AA26" s="267"/>
      <c r="AB26" s="267"/>
      <c r="AC26" s="267"/>
      <c r="AD26" s="267"/>
      <c r="AE26" s="267"/>
      <c r="AF26" s="267"/>
    </row>
    <row r="27" spans="1:32" s="266" customFormat="1" x14ac:dyDescent="0.25">
      <c r="B27" s="272">
        <v>840</v>
      </c>
      <c r="C27" s="307">
        <v>0.4</v>
      </c>
      <c r="D27" s="273">
        <v>0.35099999999999992</v>
      </c>
      <c r="E27" s="273">
        <v>0.5129999999999999</v>
      </c>
      <c r="F27" s="273">
        <v>0.87690000000000012</v>
      </c>
      <c r="G27" s="273">
        <v>0.66239999999999988</v>
      </c>
      <c r="H27" s="273">
        <v>0.34019999999999995</v>
      </c>
      <c r="I27" s="273">
        <v>0.67874999999999996</v>
      </c>
      <c r="J27" s="273">
        <v>0.82999999999999985</v>
      </c>
      <c r="K27" s="274">
        <v>0.50995000000000001</v>
      </c>
      <c r="M27" s="281" t="s">
        <v>346</v>
      </c>
      <c r="N27" s="285">
        <v>1</v>
      </c>
      <c r="O27" s="267"/>
      <c r="P27" s="286" t="s">
        <v>347</v>
      </c>
      <c r="Q27" s="287">
        <v>5.6979808722070042E-2</v>
      </c>
      <c r="R27" s="267"/>
      <c r="S27" s="190"/>
      <c r="T27" s="190"/>
      <c r="U27" s="190"/>
      <c r="V27" s="267"/>
      <c r="W27" s="267"/>
      <c r="X27" s="267"/>
      <c r="Y27" s="267"/>
      <c r="Z27" s="267"/>
      <c r="AA27" s="267"/>
      <c r="AB27" s="267"/>
      <c r="AC27" s="267"/>
      <c r="AD27" s="267"/>
      <c r="AE27" s="267"/>
      <c r="AF27" s="267"/>
    </row>
    <row r="28" spans="1:32" s="266" customFormat="1" x14ac:dyDescent="0.25">
      <c r="B28" s="275">
        <v>1260</v>
      </c>
      <c r="C28" s="308">
        <v>0.6</v>
      </c>
      <c r="D28" s="276">
        <v>0.29249999999999993</v>
      </c>
      <c r="E28" s="276">
        <v>0.42179999999999995</v>
      </c>
      <c r="F28" s="276">
        <v>0.73260000000000014</v>
      </c>
      <c r="G28" s="276">
        <v>0.5663999999999999</v>
      </c>
      <c r="H28" s="276">
        <v>0.27540000000000003</v>
      </c>
      <c r="I28" s="276">
        <v>0.54300000000000004</v>
      </c>
      <c r="J28" s="276">
        <v>0.66</v>
      </c>
      <c r="K28" s="277">
        <v>0.4123</v>
      </c>
      <c r="M28" s="309" t="s">
        <v>349</v>
      </c>
      <c r="N28" s="310">
        <v>0.87</v>
      </c>
      <c r="O28" s="267"/>
      <c r="P28" s="267"/>
      <c r="Q28" s="267"/>
      <c r="R28" s="267"/>
      <c r="S28" s="190"/>
      <c r="T28" s="190"/>
      <c r="U28" s="190"/>
      <c r="V28" s="267"/>
      <c r="W28" s="267"/>
      <c r="X28" s="267"/>
      <c r="Y28" s="267"/>
      <c r="Z28" s="267"/>
      <c r="AA28" s="267"/>
      <c r="AB28" s="267"/>
      <c r="AC28" s="267"/>
      <c r="AD28" s="267"/>
      <c r="AE28" s="267"/>
      <c r="AF28" s="267"/>
    </row>
    <row r="29" spans="1:32" s="266" customFormat="1" x14ac:dyDescent="0.25">
      <c r="B29" s="272">
        <v>1680</v>
      </c>
      <c r="C29" s="307">
        <v>0.8</v>
      </c>
      <c r="D29" s="273">
        <v>0.25739999999999996</v>
      </c>
      <c r="E29" s="273">
        <v>0.35339999999999999</v>
      </c>
      <c r="F29" s="273">
        <v>0.58830000000000005</v>
      </c>
      <c r="G29" s="273">
        <v>0.45119999999999993</v>
      </c>
      <c r="H29" s="273">
        <v>0.24299999999999997</v>
      </c>
      <c r="I29" s="273">
        <v>0.47060000000000002</v>
      </c>
      <c r="J29" s="273">
        <v>0.57999999999999996</v>
      </c>
      <c r="K29" s="274">
        <v>0.34719999999999995</v>
      </c>
      <c r="M29" s="267"/>
      <c r="N29" s="267"/>
      <c r="O29" s="267"/>
      <c r="P29" s="267"/>
      <c r="Q29" s="267"/>
      <c r="R29" s="267"/>
      <c r="S29" s="190"/>
      <c r="T29" s="190"/>
      <c r="U29" s="190"/>
      <c r="V29" s="267"/>
      <c r="W29" s="267"/>
      <c r="X29" s="267"/>
      <c r="Y29" s="267"/>
      <c r="Z29" s="267"/>
      <c r="AA29" s="267"/>
      <c r="AB29" s="267"/>
      <c r="AC29" s="267"/>
      <c r="AD29" s="267"/>
      <c r="AE29" s="267"/>
      <c r="AF29" s="267"/>
    </row>
    <row r="30" spans="1:32" s="266" customFormat="1" ht="13" thickBot="1" x14ac:dyDescent="0.3">
      <c r="B30" s="275">
        <v>2100</v>
      </c>
      <c r="C30" s="308">
        <v>1</v>
      </c>
      <c r="D30" s="276">
        <v>0.22229999999999997</v>
      </c>
      <c r="E30" s="276">
        <v>0.2964</v>
      </c>
      <c r="F30" s="276">
        <v>0.49950000000000006</v>
      </c>
      <c r="G30" s="276">
        <v>0.39359999999999995</v>
      </c>
      <c r="H30" s="276">
        <v>0.20249999999999999</v>
      </c>
      <c r="I30" s="276">
        <v>0.38915000000000005</v>
      </c>
      <c r="J30" s="276">
        <v>0.48</v>
      </c>
      <c r="K30" s="277">
        <v>0.30380000000000001</v>
      </c>
      <c r="M30" s="267" t="s">
        <v>357</v>
      </c>
      <c r="N30" s="267"/>
      <c r="O30" s="267"/>
      <c r="P30" s="267"/>
      <c r="Q30" s="267"/>
      <c r="R30" s="267"/>
      <c r="S30" s="190"/>
      <c r="T30" s="190"/>
      <c r="U30" s="190"/>
      <c r="V30" s="267"/>
      <c r="W30" s="267"/>
      <c r="X30" s="267"/>
      <c r="Y30" s="267"/>
      <c r="Z30" s="267"/>
      <c r="AA30" s="267"/>
      <c r="AB30" s="267"/>
      <c r="AC30" s="267"/>
      <c r="AD30" s="267"/>
      <c r="AE30" s="267"/>
      <c r="AF30" s="267"/>
    </row>
    <row r="31" spans="1:32" s="266" customFormat="1" x14ac:dyDescent="0.25">
      <c r="B31" s="272">
        <v>2520</v>
      </c>
      <c r="C31" s="307">
        <v>1.2</v>
      </c>
      <c r="D31" s="273">
        <v>0.21059999999999998</v>
      </c>
      <c r="E31" s="273">
        <v>0.26219999999999999</v>
      </c>
      <c r="F31" s="273">
        <v>0.41070000000000007</v>
      </c>
      <c r="G31" s="273">
        <v>0.31680000000000003</v>
      </c>
      <c r="H31" s="273">
        <v>0.17820000000000003</v>
      </c>
      <c r="I31" s="273">
        <v>0.35295000000000004</v>
      </c>
      <c r="J31" s="273">
        <v>0.42000000000000004</v>
      </c>
      <c r="K31" s="274">
        <v>0.28210000000000002</v>
      </c>
      <c r="L31" s="292" t="s">
        <v>342</v>
      </c>
      <c r="M31" s="293" t="s">
        <v>343</v>
      </c>
      <c r="N31" s="294">
        <v>1.19</v>
      </c>
      <c r="O31" s="267"/>
      <c r="P31" s="267"/>
      <c r="Q31" s="267"/>
      <c r="R31" s="267"/>
      <c r="S31" s="190"/>
      <c r="T31" s="190"/>
      <c r="U31" s="190"/>
      <c r="V31" s="267"/>
      <c r="W31" s="267"/>
      <c r="X31" s="267"/>
      <c r="Y31" s="267"/>
      <c r="Z31" s="267"/>
      <c r="AA31" s="267"/>
      <c r="AB31" s="267"/>
      <c r="AC31" s="267"/>
      <c r="AD31" s="267"/>
      <c r="AE31" s="267"/>
      <c r="AF31" s="267"/>
    </row>
    <row r="32" spans="1:32" s="266" customFormat="1" x14ac:dyDescent="0.25">
      <c r="B32" s="275">
        <v>2940</v>
      </c>
      <c r="C32" s="308">
        <v>1.4</v>
      </c>
      <c r="D32" s="276">
        <v>0.19889999999999999</v>
      </c>
      <c r="E32" s="276">
        <v>0.23939999999999997</v>
      </c>
      <c r="F32" s="276">
        <v>0.35520000000000002</v>
      </c>
      <c r="G32" s="276">
        <v>0.28799999999999998</v>
      </c>
      <c r="H32" s="276">
        <v>0.17820000000000003</v>
      </c>
      <c r="I32" s="276">
        <v>0.28960000000000002</v>
      </c>
      <c r="J32" s="276">
        <v>0.37</v>
      </c>
      <c r="K32" s="277">
        <v>0.2387</v>
      </c>
      <c r="L32" s="295" t="s">
        <v>348</v>
      </c>
      <c r="M32" s="296" t="s">
        <v>349</v>
      </c>
      <c r="N32" s="297">
        <v>0.87</v>
      </c>
      <c r="O32" s="267"/>
      <c r="P32" s="267"/>
      <c r="Q32" s="267"/>
      <c r="R32" s="267"/>
      <c r="S32" s="190"/>
      <c r="T32" s="190"/>
      <c r="U32" s="190"/>
      <c r="V32" s="267"/>
      <c r="W32" s="267"/>
      <c r="X32" s="267"/>
      <c r="Y32" s="267"/>
      <c r="Z32" s="267"/>
      <c r="AA32" s="267"/>
      <c r="AB32" s="267"/>
      <c r="AC32" s="267"/>
      <c r="AD32" s="267"/>
      <c r="AE32" s="267"/>
      <c r="AF32" s="267"/>
    </row>
    <row r="33" spans="2:32" s="266" customFormat="1" ht="13" thickBot="1" x14ac:dyDescent="0.3">
      <c r="B33" s="272">
        <v>3360</v>
      </c>
      <c r="C33" s="307">
        <v>1.6</v>
      </c>
      <c r="D33" s="273">
        <v>0.17549999999999996</v>
      </c>
      <c r="E33" s="273">
        <v>0.20519999999999997</v>
      </c>
      <c r="F33" s="273">
        <v>0.31080000000000008</v>
      </c>
      <c r="G33" s="273">
        <v>0.24959999999999999</v>
      </c>
      <c r="H33" s="273">
        <v>0.14579999999999999</v>
      </c>
      <c r="I33" s="273">
        <v>0.26245000000000002</v>
      </c>
      <c r="J33" s="273">
        <v>0.34</v>
      </c>
      <c r="K33" s="274">
        <v>0.22785</v>
      </c>
      <c r="L33" s="298" t="s">
        <v>345</v>
      </c>
      <c r="M33" s="299" t="s">
        <v>346</v>
      </c>
      <c r="N33" s="300">
        <v>1</v>
      </c>
      <c r="O33" s="267"/>
      <c r="P33" s="267"/>
      <c r="Q33" s="267"/>
      <c r="R33" s="267"/>
      <c r="S33" s="190"/>
      <c r="T33" s="190"/>
      <c r="U33" s="190"/>
      <c r="V33" s="267"/>
      <c r="W33" s="267"/>
      <c r="X33" s="267"/>
      <c r="Y33" s="267"/>
      <c r="Z33" s="267"/>
      <c r="AA33" s="267"/>
      <c r="AB33" s="267"/>
      <c r="AC33" s="267"/>
      <c r="AD33" s="267"/>
      <c r="AE33" s="267"/>
      <c r="AF33" s="267"/>
    </row>
    <row r="34" spans="2:32" s="266" customFormat="1" x14ac:dyDescent="0.25">
      <c r="B34" s="275">
        <v>3780</v>
      </c>
      <c r="C34" s="308">
        <v>1.8</v>
      </c>
      <c r="D34" s="276">
        <v>0.15209999999999999</v>
      </c>
      <c r="E34" s="276">
        <v>0.20519999999999997</v>
      </c>
      <c r="F34" s="276">
        <v>0.29970000000000008</v>
      </c>
      <c r="G34" s="276">
        <v>0.2112</v>
      </c>
      <c r="H34" s="276">
        <v>0.13770000000000002</v>
      </c>
      <c r="I34" s="276">
        <v>0.25340000000000007</v>
      </c>
      <c r="J34" s="276">
        <v>0.3</v>
      </c>
      <c r="K34" s="277">
        <v>0.19529999999999997</v>
      </c>
      <c r="M34" s="267"/>
      <c r="N34" s="267"/>
      <c r="O34" s="267"/>
      <c r="P34" s="267"/>
      <c r="Q34" s="267"/>
      <c r="R34" s="267"/>
      <c r="S34" s="190"/>
      <c r="T34" s="190"/>
      <c r="U34" s="190"/>
      <c r="V34" s="267"/>
      <c r="W34" s="267"/>
      <c r="X34" s="267"/>
      <c r="Y34" s="267"/>
      <c r="Z34" s="267"/>
      <c r="AA34" s="267"/>
      <c r="AB34" s="267"/>
      <c r="AC34" s="267"/>
      <c r="AD34" s="267"/>
      <c r="AE34" s="267"/>
      <c r="AF34" s="267"/>
    </row>
    <row r="35" spans="2:32" s="266" customFormat="1" x14ac:dyDescent="0.25">
      <c r="B35" s="289">
        <v>4200</v>
      </c>
      <c r="C35" s="311">
        <v>2</v>
      </c>
      <c r="D35" s="290">
        <v>0.14039999999999997</v>
      </c>
      <c r="E35" s="290">
        <v>0.1938</v>
      </c>
      <c r="F35" s="290">
        <v>0.25530000000000003</v>
      </c>
      <c r="G35" s="290">
        <v>0.20159999999999997</v>
      </c>
      <c r="H35" s="290">
        <v>0.12959999999999999</v>
      </c>
      <c r="I35" s="290">
        <v>0.2172</v>
      </c>
      <c r="J35" s="290">
        <v>0.28000000000000003</v>
      </c>
      <c r="K35" s="291">
        <v>0.18445</v>
      </c>
      <c r="O35" s="267"/>
      <c r="P35" s="267"/>
      <c r="Q35" s="267"/>
      <c r="R35" s="267"/>
      <c r="S35" s="190"/>
      <c r="T35" s="190"/>
      <c r="U35" s="190"/>
      <c r="V35" s="267"/>
      <c r="W35" s="267"/>
      <c r="X35" s="267"/>
      <c r="Y35" s="267"/>
      <c r="Z35" s="267"/>
      <c r="AA35" s="267"/>
      <c r="AB35" s="267"/>
      <c r="AC35" s="267"/>
      <c r="AD35" s="267"/>
      <c r="AE35" s="267"/>
      <c r="AF35" s="267"/>
    </row>
    <row r="36" spans="2:32" x14ac:dyDescent="0.25">
      <c r="C36" s="329"/>
      <c r="D36" s="329"/>
      <c r="E36" s="329"/>
      <c r="F36" s="329"/>
      <c r="G36" s="330"/>
      <c r="O36" s="329"/>
      <c r="P36" s="329"/>
      <c r="Q36" s="329"/>
      <c r="R36" s="330"/>
    </row>
    <row r="37" spans="2:32" x14ac:dyDescent="0.25">
      <c r="C37" s="331"/>
      <c r="D37" s="331"/>
      <c r="E37" s="331"/>
      <c r="F37" s="331"/>
      <c r="G37" s="329"/>
      <c r="I37" s="332"/>
      <c r="J37" s="332"/>
      <c r="K37" s="332"/>
    </row>
    <row r="38" spans="2:32" x14ac:dyDescent="0.25">
      <c r="C38" s="331"/>
      <c r="D38" s="331"/>
      <c r="E38" s="331"/>
      <c r="F38" s="331"/>
      <c r="G38" s="329"/>
      <c r="I38" s="332"/>
      <c r="J38" s="332"/>
      <c r="K38" s="332"/>
    </row>
    <row r="39" spans="2:32" x14ac:dyDescent="0.25">
      <c r="C39" s="331"/>
      <c r="D39" s="331"/>
      <c r="E39" s="331"/>
      <c r="F39" s="331"/>
      <c r="G39" s="329"/>
      <c r="I39" s="332"/>
      <c r="J39" s="332"/>
      <c r="K39" s="332"/>
    </row>
    <row r="40" spans="2:32" x14ac:dyDescent="0.25">
      <c r="C40" s="331"/>
      <c r="D40" s="331"/>
      <c r="E40" s="331"/>
      <c r="F40" s="331"/>
      <c r="G40" s="329"/>
      <c r="I40" s="332"/>
      <c r="J40" s="332"/>
      <c r="K40" s="332"/>
    </row>
    <row r="42" spans="2:32" x14ac:dyDescent="0.25">
      <c r="C42" s="826"/>
      <c r="D42" s="826"/>
      <c r="E42" s="826"/>
      <c r="N42" s="826"/>
      <c r="O42" s="826"/>
      <c r="P42" s="826"/>
    </row>
    <row r="44" spans="2:32" x14ac:dyDescent="0.25">
      <c r="C44" s="329"/>
      <c r="D44" s="332"/>
      <c r="E44" s="329"/>
    </row>
    <row r="45" spans="2:32" x14ac:dyDescent="0.25">
      <c r="C45" s="329"/>
      <c r="D45" s="332"/>
      <c r="E45" s="329"/>
    </row>
    <row r="46" spans="2:32" x14ac:dyDescent="0.25">
      <c r="C46" s="329"/>
      <c r="D46" s="332"/>
      <c r="E46" s="329"/>
    </row>
    <row r="47" spans="2:32" x14ac:dyDescent="0.25">
      <c r="C47" s="329"/>
      <c r="D47" s="332"/>
      <c r="E47" s="329"/>
    </row>
    <row r="49" spans="1:10" x14ac:dyDescent="0.25">
      <c r="C49" s="826"/>
      <c r="D49" s="826"/>
      <c r="E49" s="826"/>
      <c r="F49" s="826"/>
      <c r="G49" s="826"/>
      <c r="H49" s="826"/>
      <c r="I49" s="826"/>
      <c r="J49" s="826"/>
    </row>
    <row r="52" spans="1:10" x14ac:dyDescent="0.25">
      <c r="C52" s="327"/>
      <c r="D52" s="327"/>
      <c r="E52" s="327"/>
      <c r="F52" s="327"/>
      <c r="G52" s="327"/>
      <c r="H52" s="327"/>
      <c r="I52" s="327"/>
      <c r="J52" s="327"/>
    </row>
    <row r="53" spans="1:10" x14ac:dyDescent="0.25">
      <c r="C53" s="327"/>
      <c r="D53" s="327"/>
      <c r="E53" s="327"/>
      <c r="F53" s="327"/>
      <c r="G53" s="327"/>
      <c r="H53" s="327"/>
      <c r="I53" s="327"/>
      <c r="J53" s="327"/>
    </row>
    <row r="54" spans="1:10" x14ac:dyDescent="0.25">
      <c r="C54" s="327"/>
      <c r="D54" s="327"/>
      <c r="E54" s="327"/>
      <c r="F54" s="327"/>
      <c r="G54" s="327"/>
      <c r="H54" s="327"/>
      <c r="I54" s="327"/>
      <c r="J54" s="327"/>
    </row>
    <row r="55" spans="1:10" x14ac:dyDescent="0.25">
      <c r="A55" s="190"/>
      <c r="C55" s="327"/>
      <c r="D55" s="327"/>
      <c r="E55" s="327"/>
      <c r="F55" s="327"/>
      <c r="G55" s="327"/>
      <c r="H55" s="327"/>
      <c r="I55" s="327"/>
      <c r="J55" s="327"/>
    </row>
    <row r="56" spans="1:10" x14ac:dyDescent="0.25">
      <c r="C56" s="327"/>
      <c r="D56" s="327"/>
      <c r="E56" s="327"/>
      <c r="F56" s="327"/>
      <c r="G56" s="327"/>
      <c r="H56" s="327"/>
      <c r="I56" s="327"/>
      <c r="J56" s="327"/>
    </row>
    <row r="57" spans="1:10" x14ac:dyDescent="0.25">
      <c r="D57" s="327"/>
      <c r="E57" s="327"/>
      <c r="F57" s="327"/>
      <c r="G57" s="327"/>
      <c r="H57" s="327"/>
      <c r="I57" s="327"/>
      <c r="J57" s="327"/>
    </row>
    <row r="58" spans="1:10" x14ac:dyDescent="0.25">
      <c r="C58" s="327"/>
      <c r="D58" s="327"/>
      <c r="E58" s="327"/>
      <c r="F58" s="327"/>
      <c r="G58" s="327"/>
      <c r="H58" s="327"/>
      <c r="I58" s="327"/>
      <c r="J58" s="327"/>
    </row>
    <row r="59" spans="1:10" x14ac:dyDescent="0.25">
      <c r="C59" s="327"/>
      <c r="D59" s="327"/>
      <c r="E59" s="327"/>
      <c r="F59" s="327"/>
      <c r="G59" s="327"/>
      <c r="H59" s="327"/>
      <c r="I59" s="327"/>
      <c r="J59" s="327"/>
    </row>
    <row r="60" spans="1:10" x14ac:dyDescent="0.25">
      <c r="C60" s="327"/>
      <c r="D60" s="327"/>
      <c r="E60" s="327"/>
      <c r="F60" s="327"/>
      <c r="G60" s="327"/>
      <c r="H60" s="327"/>
      <c r="I60" s="327"/>
      <c r="J60" s="327"/>
    </row>
    <row r="61" spans="1:10" x14ac:dyDescent="0.25">
      <c r="C61" s="327"/>
      <c r="D61" s="327"/>
      <c r="E61" s="327"/>
      <c r="F61" s="327"/>
      <c r="G61" s="327"/>
      <c r="H61" s="327"/>
      <c r="I61" s="327"/>
      <c r="J61" s="327"/>
    </row>
    <row r="62" spans="1:10" x14ac:dyDescent="0.25">
      <c r="C62" s="327"/>
      <c r="D62" s="327"/>
      <c r="E62" s="327"/>
      <c r="F62" s="327"/>
      <c r="G62" s="327"/>
      <c r="H62" s="327"/>
      <c r="I62" s="327"/>
      <c r="J62" s="327"/>
    </row>
    <row r="67" spans="3:7" x14ac:dyDescent="0.25">
      <c r="C67" s="329"/>
      <c r="D67" s="329"/>
      <c r="E67" s="329"/>
      <c r="F67" s="329"/>
      <c r="G67" s="329"/>
    </row>
    <row r="68" spans="3:7" x14ac:dyDescent="0.25">
      <c r="C68" s="329"/>
      <c r="D68" s="329"/>
      <c r="E68" s="329"/>
      <c r="F68" s="329"/>
      <c r="G68" s="329"/>
    </row>
  </sheetData>
  <mergeCells count="6">
    <mergeCell ref="C49:J49"/>
    <mergeCell ref="M1:N1"/>
    <mergeCell ref="P1:Q1"/>
    <mergeCell ref="M20:N20"/>
    <mergeCell ref="C42:E42"/>
    <mergeCell ref="N42:P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0"/>
  <sheetViews>
    <sheetView topLeftCell="A10"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358</v>
      </c>
      <c r="N1" s="827"/>
      <c r="P1" s="828" t="s">
        <v>331</v>
      </c>
      <c r="Q1" s="828"/>
      <c r="S1" s="190"/>
      <c r="T1" s="190"/>
      <c r="U1" s="190"/>
    </row>
    <row r="2" spans="1:21" ht="52" x14ac:dyDescent="0.25">
      <c r="B2" s="268" t="s">
        <v>332</v>
      </c>
      <c r="C2" s="269" t="s">
        <v>333</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0.59039999999999992</v>
      </c>
      <c r="E3" s="273">
        <v>1.0762499999999999</v>
      </c>
      <c r="F3" s="273">
        <v>1.5005999999999999</v>
      </c>
      <c r="G3" s="273">
        <v>0.92560000000000009</v>
      </c>
      <c r="H3" s="273">
        <v>0.39600000000000002</v>
      </c>
      <c r="I3" s="273">
        <v>1.0528000000000002</v>
      </c>
      <c r="J3" s="273">
        <v>1.7822000000000002</v>
      </c>
      <c r="K3" s="274">
        <v>1.1932500000000001</v>
      </c>
      <c r="S3" s="190"/>
      <c r="T3" s="190"/>
      <c r="U3" s="190"/>
    </row>
    <row r="4" spans="1:21" ht="13" x14ac:dyDescent="0.25">
      <c r="B4" s="275">
        <v>105</v>
      </c>
      <c r="C4" s="276">
        <v>0.05</v>
      </c>
      <c r="D4" s="276">
        <v>0.49199999999999994</v>
      </c>
      <c r="E4" s="276">
        <v>0.94299999999999995</v>
      </c>
      <c r="F4" s="276">
        <v>1.3530000000000002</v>
      </c>
      <c r="G4" s="276">
        <v>0.81880000000000008</v>
      </c>
      <c r="H4" s="276">
        <v>0.33</v>
      </c>
      <c r="I4" s="276">
        <v>0.94940000000000002</v>
      </c>
      <c r="J4" s="276">
        <v>1.6359000000000001</v>
      </c>
      <c r="K4" s="277">
        <v>1.0642499999999999</v>
      </c>
      <c r="M4" s="304" t="s">
        <v>334</v>
      </c>
      <c r="N4" s="271" t="s">
        <v>335</v>
      </c>
      <c r="P4" s="304" t="s">
        <v>336</v>
      </c>
      <c r="Q4" s="271" t="s">
        <v>337</v>
      </c>
      <c r="S4" s="190"/>
      <c r="T4" s="190"/>
      <c r="U4" s="190"/>
    </row>
    <row r="5" spans="1:21" x14ac:dyDescent="0.25">
      <c r="B5" s="272">
        <v>210</v>
      </c>
      <c r="C5" s="273">
        <v>0.1</v>
      </c>
      <c r="D5" s="273">
        <v>0.45099999999999996</v>
      </c>
      <c r="E5" s="273">
        <v>0.87124999999999986</v>
      </c>
      <c r="F5" s="273">
        <v>1.2792000000000001</v>
      </c>
      <c r="G5" s="273">
        <v>0.76540000000000008</v>
      </c>
      <c r="H5" s="273">
        <v>0.3135</v>
      </c>
      <c r="I5" s="273">
        <v>0.88360000000000005</v>
      </c>
      <c r="J5" s="273">
        <v>1.5162</v>
      </c>
      <c r="K5" s="274">
        <v>0.96750000000000003</v>
      </c>
      <c r="M5" s="278" t="s">
        <v>338</v>
      </c>
      <c r="N5" s="279">
        <v>0.6</v>
      </c>
      <c r="P5" s="278" t="s">
        <v>339</v>
      </c>
      <c r="Q5" s="280">
        <v>5.9472570145539569E-2</v>
      </c>
      <c r="S5" s="190"/>
      <c r="T5" s="190"/>
      <c r="U5" s="190"/>
    </row>
    <row r="6" spans="1:21" x14ac:dyDescent="0.25">
      <c r="B6" s="275">
        <v>420</v>
      </c>
      <c r="C6" s="276">
        <v>0.2</v>
      </c>
      <c r="D6" s="276">
        <v>0.38539999999999996</v>
      </c>
      <c r="E6" s="276">
        <v>0.75849999999999984</v>
      </c>
      <c r="F6" s="276">
        <v>1.1315999999999999</v>
      </c>
      <c r="G6" s="276">
        <v>0.6764</v>
      </c>
      <c r="H6" s="276">
        <v>0.27500000000000002</v>
      </c>
      <c r="I6" s="276">
        <v>0.78959999999999997</v>
      </c>
      <c r="J6" s="276">
        <v>1.33</v>
      </c>
      <c r="K6" s="277">
        <v>0.83850000000000002</v>
      </c>
      <c r="M6" s="281" t="s">
        <v>340</v>
      </c>
      <c r="N6" s="282">
        <v>1.2</v>
      </c>
      <c r="P6" s="281" t="s">
        <v>341</v>
      </c>
      <c r="Q6" s="283">
        <v>6.4026766119675116E-2</v>
      </c>
      <c r="S6" s="190"/>
      <c r="T6" s="190"/>
      <c r="U6" s="190"/>
    </row>
    <row r="7" spans="1:21" x14ac:dyDescent="0.25">
      <c r="B7" s="272">
        <v>840</v>
      </c>
      <c r="C7" s="273">
        <v>0.4</v>
      </c>
      <c r="D7" s="273">
        <v>0.31980000000000003</v>
      </c>
      <c r="E7" s="273">
        <v>0.57399999999999995</v>
      </c>
      <c r="F7" s="273">
        <v>0.89789999999999992</v>
      </c>
      <c r="G7" s="273">
        <v>0.54289999999999994</v>
      </c>
      <c r="H7" s="273">
        <v>0.22000000000000003</v>
      </c>
      <c r="I7" s="273">
        <v>0.62980000000000014</v>
      </c>
      <c r="J7" s="273">
        <v>1.1038999999999999</v>
      </c>
      <c r="K7" s="274">
        <v>0.64500000000000002</v>
      </c>
      <c r="L7" s="266" t="s">
        <v>342</v>
      </c>
      <c r="M7" s="278" t="s">
        <v>343</v>
      </c>
      <c r="N7" s="284">
        <v>1.1894491104011204</v>
      </c>
      <c r="P7" s="278" t="s">
        <v>344</v>
      </c>
      <c r="Q7" s="280">
        <v>6.816694427798016E-2</v>
      </c>
      <c r="S7" s="190"/>
      <c r="T7" s="190"/>
      <c r="U7" s="190"/>
    </row>
    <row r="8" spans="1:21" x14ac:dyDescent="0.25">
      <c r="B8" s="275">
        <v>1260</v>
      </c>
      <c r="C8" s="276">
        <v>0.6</v>
      </c>
      <c r="D8" s="276">
        <v>0.27060000000000001</v>
      </c>
      <c r="E8" s="276">
        <v>0.45099999999999996</v>
      </c>
      <c r="F8" s="276">
        <v>0.73799999999999999</v>
      </c>
      <c r="G8" s="276">
        <v>0.43610000000000004</v>
      </c>
      <c r="H8" s="276">
        <v>0.18150000000000002</v>
      </c>
      <c r="I8" s="276">
        <v>0.51700000000000002</v>
      </c>
      <c r="J8" s="276">
        <v>0.89110000000000011</v>
      </c>
      <c r="K8" s="277">
        <v>0.48375000000000001</v>
      </c>
      <c r="L8" s="266" t="s">
        <v>345</v>
      </c>
      <c r="M8" s="281" t="s">
        <v>346</v>
      </c>
      <c r="N8" s="285">
        <v>1</v>
      </c>
      <c r="P8" s="286" t="s">
        <v>347</v>
      </c>
      <c r="Q8" s="287">
        <v>7.1930742603712017E-2</v>
      </c>
      <c r="S8" s="190"/>
      <c r="T8" s="190"/>
      <c r="U8" s="190"/>
    </row>
    <row r="9" spans="1:21" x14ac:dyDescent="0.25">
      <c r="B9" s="272">
        <v>1680</v>
      </c>
      <c r="C9" s="273">
        <v>0.8</v>
      </c>
      <c r="D9" s="273">
        <v>0.23779999999999998</v>
      </c>
      <c r="E9" s="273">
        <v>0.37924999999999992</v>
      </c>
      <c r="F9" s="273">
        <v>0.61499999999999999</v>
      </c>
      <c r="G9" s="273">
        <v>0.3649</v>
      </c>
      <c r="H9" s="273">
        <v>0.1595</v>
      </c>
      <c r="I9" s="273">
        <v>0.43240000000000006</v>
      </c>
      <c r="J9" s="273">
        <v>0.77139999999999997</v>
      </c>
      <c r="K9" s="274">
        <v>0.41925000000000001</v>
      </c>
      <c r="L9" s="266" t="s">
        <v>348</v>
      </c>
      <c r="M9" s="278" t="s">
        <v>349</v>
      </c>
      <c r="N9" s="284">
        <v>0.90781913797078717</v>
      </c>
      <c r="S9" s="190"/>
      <c r="T9" s="190"/>
      <c r="U9" s="190"/>
    </row>
    <row r="10" spans="1:21" x14ac:dyDescent="0.25">
      <c r="B10" s="275">
        <v>2100</v>
      </c>
      <c r="C10" s="276">
        <v>1</v>
      </c>
      <c r="D10" s="276">
        <v>0.2132</v>
      </c>
      <c r="E10" s="276">
        <v>0.30749999999999994</v>
      </c>
      <c r="F10" s="276">
        <v>0.52889999999999993</v>
      </c>
      <c r="G10" s="276">
        <v>0.3115</v>
      </c>
      <c r="H10" s="276">
        <v>0.13200000000000001</v>
      </c>
      <c r="I10" s="276">
        <v>0.37600000000000006</v>
      </c>
      <c r="J10" s="276">
        <v>0.62509999999999999</v>
      </c>
      <c r="K10" s="277">
        <v>0.34400000000000003</v>
      </c>
      <c r="M10" s="286" t="s">
        <v>350</v>
      </c>
      <c r="N10" s="288">
        <v>0.75</v>
      </c>
      <c r="S10" s="190"/>
      <c r="T10" s="190"/>
      <c r="U10" s="190"/>
    </row>
    <row r="11" spans="1:21" x14ac:dyDescent="0.25">
      <c r="B11" s="272">
        <v>2520</v>
      </c>
      <c r="C11" s="273">
        <v>1.2</v>
      </c>
      <c r="D11" s="273">
        <v>0.18859999999999999</v>
      </c>
      <c r="E11" s="273">
        <v>0.27675</v>
      </c>
      <c r="F11" s="273">
        <v>0.43049999999999994</v>
      </c>
      <c r="G11" s="273">
        <v>0.26700000000000002</v>
      </c>
      <c r="H11" s="273">
        <v>0.12100000000000001</v>
      </c>
      <c r="I11" s="273">
        <v>0.31960000000000005</v>
      </c>
      <c r="J11" s="273">
        <v>0.54530000000000001</v>
      </c>
      <c r="K11" s="274">
        <v>0.30099999999999999</v>
      </c>
      <c r="M11" s="267" t="s">
        <v>351</v>
      </c>
      <c r="S11" s="190"/>
      <c r="T11" s="190"/>
      <c r="U11" s="190"/>
    </row>
    <row r="12" spans="1:21" x14ac:dyDescent="0.25">
      <c r="B12" s="275">
        <v>2940</v>
      </c>
      <c r="C12" s="276">
        <v>1.4</v>
      </c>
      <c r="D12" s="276">
        <v>0.17219999999999999</v>
      </c>
      <c r="E12" s="276">
        <v>0.24599999999999997</v>
      </c>
      <c r="F12" s="276">
        <v>0.39360000000000001</v>
      </c>
      <c r="G12" s="276">
        <v>0.24920000000000006</v>
      </c>
      <c r="H12" s="276">
        <v>0.11550000000000002</v>
      </c>
      <c r="I12" s="276">
        <v>0.28200000000000003</v>
      </c>
      <c r="J12" s="276">
        <v>0.47880000000000006</v>
      </c>
      <c r="K12" s="277">
        <v>0.25800000000000001</v>
      </c>
      <c r="S12" s="190"/>
      <c r="T12" s="190"/>
      <c r="U12" s="190"/>
    </row>
    <row r="13" spans="1:21" x14ac:dyDescent="0.25">
      <c r="B13" s="272">
        <v>3360</v>
      </c>
      <c r="C13" s="273">
        <v>1.6</v>
      </c>
      <c r="D13" s="273">
        <v>0.15579999999999999</v>
      </c>
      <c r="E13" s="273">
        <v>0.23574999999999999</v>
      </c>
      <c r="F13" s="273">
        <v>0.34440000000000004</v>
      </c>
      <c r="G13" s="273">
        <v>0.2225</v>
      </c>
      <c r="H13" s="273">
        <v>0.10450000000000001</v>
      </c>
      <c r="I13" s="273">
        <v>0.25380000000000003</v>
      </c>
      <c r="J13" s="273">
        <v>0.4123</v>
      </c>
      <c r="K13" s="274">
        <v>0.23649999999999999</v>
      </c>
      <c r="M13" s="286" t="s">
        <v>350</v>
      </c>
      <c r="N13" s="288">
        <v>0.75186507055881702</v>
      </c>
      <c r="S13" s="190"/>
      <c r="T13" s="190"/>
      <c r="U13" s="190"/>
    </row>
    <row r="14" spans="1:21" ht="13" thickBot="1" x14ac:dyDescent="0.3">
      <c r="B14" s="275">
        <v>3780</v>
      </c>
      <c r="C14" s="276">
        <v>1.8</v>
      </c>
      <c r="D14" s="276">
        <v>0.1394</v>
      </c>
      <c r="E14" s="276">
        <v>0.20499999999999999</v>
      </c>
      <c r="F14" s="276">
        <v>0.29519999999999996</v>
      </c>
      <c r="G14" s="276">
        <v>0.19580000000000003</v>
      </c>
      <c r="H14" s="276">
        <v>9.3500000000000014E-2</v>
      </c>
      <c r="I14" s="276">
        <v>0.24440000000000003</v>
      </c>
      <c r="J14" s="276">
        <v>0.37240000000000006</v>
      </c>
      <c r="K14" s="277">
        <v>0.21500000000000002</v>
      </c>
      <c r="M14" s="267" t="s">
        <v>352</v>
      </c>
    </row>
    <row r="15" spans="1:21" x14ac:dyDescent="0.25">
      <c r="B15" s="289">
        <v>4200</v>
      </c>
      <c r="C15" s="290">
        <v>2</v>
      </c>
      <c r="D15" s="290">
        <v>0.1394</v>
      </c>
      <c r="E15" s="290">
        <v>0.19474999999999998</v>
      </c>
      <c r="F15" s="290">
        <v>0.27060000000000001</v>
      </c>
      <c r="G15" s="290">
        <v>0.18689999999999998</v>
      </c>
      <c r="H15" s="290">
        <v>8.8000000000000009E-2</v>
      </c>
      <c r="I15" s="290">
        <v>0.20680000000000004</v>
      </c>
      <c r="J15" s="290">
        <v>0.35910000000000003</v>
      </c>
      <c r="K15" s="291">
        <v>0.20425000000000001</v>
      </c>
      <c r="L15" s="292" t="s">
        <v>342</v>
      </c>
      <c r="M15" s="293" t="s">
        <v>343</v>
      </c>
      <c r="N15" s="294">
        <v>1.1894491104011204</v>
      </c>
    </row>
    <row r="16" spans="1:21" x14ac:dyDescent="0.25">
      <c r="L16" s="295" t="s">
        <v>348</v>
      </c>
      <c r="M16" s="296" t="s">
        <v>349</v>
      </c>
      <c r="N16" s="297">
        <v>0.90781913797078717</v>
      </c>
    </row>
    <row r="17" spans="1:27" ht="13" thickBot="1" x14ac:dyDescent="0.3">
      <c r="L17" s="298" t="s">
        <v>345</v>
      </c>
      <c r="M17" s="299" t="s">
        <v>346</v>
      </c>
      <c r="N17" s="300">
        <v>1</v>
      </c>
    </row>
    <row r="18" spans="1:27" x14ac:dyDescent="0.25">
      <c r="A18" s="315" t="s">
        <v>359</v>
      </c>
      <c r="B18" s="265" t="s">
        <v>360</v>
      </c>
      <c r="M18" s="827" t="s">
        <v>361</v>
      </c>
      <c r="N18" s="827"/>
      <c r="P18" s="267" t="s">
        <v>362</v>
      </c>
    </row>
    <row r="20" spans="1:27"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row>
    <row r="21" spans="1:27" ht="13" x14ac:dyDescent="0.25">
      <c r="B21" s="272">
        <v>0</v>
      </c>
      <c r="C21" s="273">
        <v>0</v>
      </c>
      <c r="D21" s="273">
        <v>1.4880000000000002</v>
      </c>
      <c r="E21" s="273">
        <v>1.476</v>
      </c>
      <c r="F21" s="273">
        <v>1.075</v>
      </c>
      <c r="G21" s="273">
        <v>0.47000000000000003</v>
      </c>
      <c r="H21" s="273">
        <v>0.40700000000000003</v>
      </c>
      <c r="I21" s="273">
        <v>0.46124999999999994</v>
      </c>
      <c r="J21" s="273">
        <v>1.0465</v>
      </c>
      <c r="K21" s="274">
        <v>1.4430000000000001</v>
      </c>
      <c r="M21" s="304" t="s">
        <v>334</v>
      </c>
      <c r="N21" s="271" t="s">
        <v>335</v>
      </c>
      <c r="P21" s="316" t="s">
        <v>277</v>
      </c>
      <c r="Q21" s="316" t="s">
        <v>278</v>
      </c>
      <c r="R21" s="316" t="s">
        <v>279</v>
      </c>
      <c r="S21" s="316" t="s">
        <v>280</v>
      </c>
      <c r="T21" s="316" t="s">
        <v>281</v>
      </c>
      <c r="U21" s="316" t="s">
        <v>282</v>
      </c>
      <c r="V21" s="316" t="s">
        <v>283</v>
      </c>
      <c r="W21" s="316" t="s">
        <v>284</v>
      </c>
      <c r="Y21" s="190"/>
      <c r="Z21" s="190"/>
      <c r="AA21" s="190"/>
    </row>
    <row r="22" spans="1:27" x14ac:dyDescent="0.25">
      <c r="B22" s="275">
        <v>105</v>
      </c>
      <c r="C22" s="276">
        <v>0.05</v>
      </c>
      <c r="D22" s="276">
        <v>1.4400000000000002</v>
      </c>
      <c r="E22" s="276">
        <v>1.40425</v>
      </c>
      <c r="F22" s="276">
        <v>1</v>
      </c>
      <c r="G22" s="276">
        <v>0.39950000000000002</v>
      </c>
      <c r="H22" s="276">
        <v>0.34100000000000003</v>
      </c>
      <c r="I22" s="276">
        <v>0.40499999999999997</v>
      </c>
      <c r="J22" s="276">
        <v>0.96599999999999997</v>
      </c>
      <c r="K22" s="277">
        <v>1.3845000000000001</v>
      </c>
      <c r="M22" s="278" t="s">
        <v>338</v>
      </c>
      <c r="N22" s="279">
        <v>0.4</v>
      </c>
      <c r="O22" s="267" t="s">
        <v>363</v>
      </c>
      <c r="P22" s="301">
        <v>1.1100000000000001</v>
      </c>
      <c r="Q22" s="301">
        <v>0.97</v>
      </c>
      <c r="R22" s="301">
        <v>0.83</v>
      </c>
      <c r="S22" s="301">
        <v>0.81</v>
      </c>
      <c r="T22" s="301">
        <v>0.79</v>
      </c>
      <c r="U22" s="301">
        <v>0.81499999999999995</v>
      </c>
      <c r="V22" s="301">
        <v>0.84</v>
      </c>
      <c r="W22" s="301">
        <v>0.97500000000000009</v>
      </c>
      <c r="Y22" s="190"/>
      <c r="Z22" s="190"/>
      <c r="AA22" s="190"/>
    </row>
    <row r="23" spans="1:27" x14ac:dyDescent="0.25">
      <c r="B23" s="272">
        <v>210</v>
      </c>
      <c r="C23" s="273">
        <v>0.1</v>
      </c>
      <c r="D23" s="273">
        <v>1.3840000000000001</v>
      </c>
      <c r="E23" s="273">
        <v>1.3632500000000001</v>
      </c>
      <c r="F23" s="273">
        <v>0.95</v>
      </c>
      <c r="G23" s="273">
        <v>0.376</v>
      </c>
      <c r="H23" s="273">
        <v>0.31900000000000001</v>
      </c>
      <c r="I23" s="273">
        <v>0.38250000000000001</v>
      </c>
      <c r="J23" s="273">
        <v>0.93149999999999999</v>
      </c>
      <c r="K23" s="274">
        <v>1.3065000000000002</v>
      </c>
      <c r="M23" s="281" t="s">
        <v>340</v>
      </c>
      <c r="N23" s="282">
        <v>1.1000000000000001</v>
      </c>
      <c r="O23" s="267" t="s">
        <v>364</v>
      </c>
      <c r="P23" s="302">
        <v>0.99900000000000011</v>
      </c>
      <c r="Q23" s="302">
        <v>0.873</v>
      </c>
      <c r="R23" s="302">
        <v>0.747</v>
      </c>
      <c r="S23" s="302">
        <v>0.72900000000000009</v>
      </c>
      <c r="T23" s="302">
        <v>0.71100000000000008</v>
      </c>
      <c r="U23" s="302">
        <v>0.73349999999999993</v>
      </c>
      <c r="V23" s="302">
        <v>0.75600000000000001</v>
      </c>
      <c r="W23" s="302">
        <v>0.87750000000000006</v>
      </c>
      <c r="Y23" s="190"/>
      <c r="Z23" s="190"/>
      <c r="AA23" s="190"/>
    </row>
    <row r="24" spans="1:27" x14ac:dyDescent="0.25">
      <c r="B24" s="275">
        <v>420</v>
      </c>
      <c r="C24" s="276">
        <v>0.2</v>
      </c>
      <c r="D24" s="276">
        <v>1.2080000000000002</v>
      </c>
      <c r="E24" s="276">
        <v>1.2095</v>
      </c>
      <c r="F24" s="276">
        <v>0.85000000000000009</v>
      </c>
      <c r="G24" s="276">
        <v>0.34074999999999994</v>
      </c>
      <c r="H24" s="276">
        <v>0.29700000000000004</v>
      </c>
      <c r="I24" s="276">
        <v>0.33749999999999997</v>
      </c>
      <c r="J24" s="276">
        <v>0.83949999999999991</v>
      </c>
      <c r="K24" s="277">
        <v>1.17</v>
      </c>
      <c r="M24" s="278" t="s">
        <v>365</v>
      </c>
      <c r="N24" s="279">
        <v>0.9</v>
      </c>
      <c r="Y24" s="190"/>
      <c r="Z24" s="190"/>
      <c r="AA24" s="190"/>
    </row>
    <row r="25" spans="1:27" x14ac:dyDescent="0.25">
      <c r="B25" s="272">
        <v>840</v>
      </c>
      <c r="C25" s="273">
        <v>0.4</v>
      </c>
      <c r="D25" s="273">
        <v>1</v>
      </c>
      <c r="E25" s="273">
        <v>0.97375</v>
      </c>
      <c r="F25" s="273">
        <v>0.67499999999999993</v>
      </c>
      <c r="G25" s="273">
        <v>0.28200000000000003</v>
      </c>
      <c r="H25" s="273">
        <v>0.253</v>
      </c>
      <c r="I25" s="273">
        <v>0.28124999999999994</v>
      </c>
      <c r="J25" s="273">
        <v>0.7014999999999999</v>
      </c>
      <c r="K25" s="274">
        <v>0.96525000000000016</v>
      </c>
      <c r="M25" s="281" t="s">
        <v>366</v>
      </c>
      <c r="N25" s="282">
        <v>1.8</v>
      </c>
      <c r="P25" s="265" t="s">
        <v>367</v>
      </c>
      <c r="Y25" s="190"/>
      <c r="Z25" s="190"/>
      <c r="AA25" s="190"/>
    </row>
    <row r="26" spans="1:27" x14ac:dyDescent="0.25">
      <c r="B26" s="275">
        <v>1260</v>
      </c>
      <c r="C26" s="276">
        <v>0.6</v>
      </c>
      <c r="D26" s="276">
        <v>0.83200000000000007</v>
      </c>
      <c r="E26" s="276">
        <v>0.7995000000000001</v>
      </c>
      <c r="F26" s="276">
        <v>0.6</v>
      </c>
      <c r="G26" s="276">
        <v>0.24674999999999997</v>
      </c>
      <c r="H26" s="276">
        <v>0.22000000000000003</v>
      </c>
      <c r="I26" s="276">
        <v>0.24749999999999997</v>
      </c>
      <c r="J26" s="276">
        <v>0.58650000000000002</v>
      </c>
      <c r="K26" s="277">
        <v>0.80924999999999991</v>
      </c>
      <c r="L26" s="266" t="s">
        <v>342</v>
      </c>
      <c r="M26" s="278" t="s">
        <v>343</v>
      </c>
      <c r="N26" s="284">
        <v>1.03250584222305</v>
      </c>
      <c r="Y26" s="190"/>
      <c r="Z26" s="190"/>
      <c r="AA26" s="190"/>
    </row>
    <row r="27" spans="1:27" ht="13" x14ac:dyDescent="0.25">
      <c r="B27" s="272">
        <v>1680</v>
      </c>
      <c r="C27" s="273">
        <v>0.8</v>
      </c>
      <c r="D27" s="273">
        <v>0.62400000000000011</v>
      </c>
      <c r="E27" s="273">
        <v>0.63550000000000006</v>
      </c>
      <c r="F27" s="273">
        <v>0.48749999999999999</v>
      </c>
      <c r="G27" s="273">
        <v>0.21149999999999999</v>
      </c>
      <c r="H27" s="273">
        <v>0.20899999999999999</v>
      </c>
      <c r="I27" s="273">
        <v>0.22499999999999998</v>
      </c>
      <c r="J27" s="273">
        <v>0.50600000000000001</v>
      </c>
      <c r="K27" s="274">
        <v>0.66300000000000003</v>
      </c>
      <c r="L27" s="266" t="s">
        <v>345</v>
      </c>
      <c r="M27" s="281" t="s">
        <v>346</v>
      </c>
      <c r="N27" s="285">
        <v>1</v>
      </c>
      <c r="P27" s="317" t="s">
        <v>368</v>
      </c>
      <c r="Y27" s="190"/>
      <c r="Z27" s="190"/>
      <c r="AA27" s="190"/>
    </row>
    <row r="28" spans="1:27" x14ac:dyDescent="0.25">
      <c r="B28" s="275">
        <v>2100</v>
      </c>
      <c r="C28" s="276">
        <v>1</v>
      </c>
      <c r="D28" s="276">
        <v>0.43200000000000011</v>
      </c>
      <c r="E28" s="276">
        <v>0.54325000000000001</v>
      </c>
      <c r="F28" s="276">
        <v>0.39999999999999997</v>
      </c>
      <c r="G28" s="276">
        <v>0.19975000000000001</v>
      </c>
      <c r="H28" s="276">
        <v>0.19800000000000001</v>
      </c>
      <c r="I28" s="276">
        <v>0.19125</v>
      </c>
      <c r="J28" s="276">
        <v>0.42549999999999999</v>
      </c>
      <c r="K28" s="277">
        <v>0.54600000000000004</v>
      </c>
      <c r="L28" s="266" t="s">
        <v>348</v>
      </c>
      <c r="M28" s="278" t="s">
        <v>349</v>
      </c>
      <c r="N28" s="284">
        <v>0.97983567156805806</v>
      </c>
      <c r="P28" s="303">
        <v>9.5989827330437247</v>
      </c>
      <c r="Y28" s="190"/>
      <c r="Z28" s="190"/>
      <c r="AA28" s="190"/>
    </row>
    <row r="29" spans="1:27" x14ac:dyDescent="0.25">
      <c r="B29" s="272">
        <v>2520</v>
      </c>
      <c r="C29" s="273">
        <v>1.2</v>
      </c>
      <c r="D29" s="273">
        <v>0.26400000000000007</v>
      </c>
      <c r="E29" s="273">
        <v>0.43049999999999999</v>
      </c>
      <c r="F29" s="273">
        <v>0.35000000000000003</v>
      </c>
      <c r="G29" s="273">
        <v>0.17624999999999999</v>
      </c>
      <c r="H29" s="273">
        <v>0.18700000000000003</v>
      </c>
      <c r="I29" s="273">
        <v>0.18</v>
      </c>
      <c r="J29" s="273">
        <v>0.40249999999999997</v>
      </c>
      <c r="K29" s="274">
        <v>0.44850000000000001</v>
      </c>
      <c r="M29" s="286" t="s">
        <v>369</v>
      </c>
      <c r="N29" s="288">
        <v>1.1399999999999999</v>
      </c>
      <c r="Y29" s="190"/>
      <c r="Z29" s="190"/>
      <c r="AA29" s="190"/>
    </row>
    <row r="30" spans="1:27" x14ac:dyDescent="0.25">
      <c r="B30" s="275">
        <v>2940</v>
      </c>
      <c r="C30" s="276">
        <v>1.4</v>
      </c>
      <c r="D30" s="276">
        <v>0.22400000000000003</v>
      </c>
      <c r="E30" s="276">
        <v>0.36899999999999999</v>
      </c>
      <c r="F30" s="276">
        <v>0.28750000000000003</v>
      </c>
      <c r="G30" s="276">
        <v>0.16450000000000004</v>
      </c>
      <c r="H30" s="276">
        <v>0.17600000000000002</v>
      </c>
      <c r="I30" s="276">
        <v>0.16874999999999998</v>
      </c>
      <c r="J30" s="276">
        <v>0.35649999999999998</v>
      </c>
      <c r="K30" s="277">
        <v>0.3705</v>
      </c>
    </row>
    <row r="31" spans="1:27" x14ac:dyDescent="0.25">
      <c r="B31" s="272">
        <v>3360</v>
      </c>
      <c r="C31" s="273">
        <v>1.6</v>
      </c>
      <c r="D31" s="273">
        <v>0.17600000000000002</v>
      </c>
      <c r="E31" s="273">
        <v>0.29725000000000001</v>
      </c>
      <c r="F31" s="273">
        <v>0.27500000000000002</v>
      </c>
      <c r="G31" s="273">
        <v>0.16450000000000004</v>
      </c>
      <c r="H31" s="273">
        <v>0.16500000000000001</v>
      </c>
      <c r="I31" s="273">
        <v>0.1575</v>
      </c>
      <c r="J31" s="273">
        <v>0.29899999999999999</v>
      </c>
      <c r="K31" s="274">
        <v>0.33150000000000002</v>
      </c>
    </row>
    <row r="32" spans="1:27" x14ac:dyDescent="0.25">
      <c r="B32" s="275">
        <v>3780</v>
      </c>
      <c r="C32" s="276">
        <v>1.8</v>
      </c>
      <c r="D32" s="276">
        <v>0.15200000000000002</v>
      </c>
      <c r="E32" s="276">
        <v>0.25624999999999998</v>
      </c>
      <c r="F32" s="276">
        <v>0.23749999999999999</v>
      </c>
      <c r="G32" s="276">
        <v>0.15275000000000002</v>
      </c>
      <c r="H32" s="276">
        <v>0.15400000000000003</v>
      </c>
      <c r="I32" s="276">
        <v>0.14624999999999999</v>
      </c>
      <c r="J32" s="276">
        <v>0.26450000000000001</v>
      </c>
      <c r="K32" s="277">
        <v>0.27300000000000002</v>
      </c>
      <c r="M32" s="286" t="s">
        <v>369</v>
      </c>
      <c r="N32" s="288">
        <v>1.1390733775295834</v>
      </c>
    </row>
    <row r="33" spans="1:21" ht="13" thickBot="1" x14ac:dyDescent="0.3">
      <c r="B33" s="289">
        <v>4200</v>
      </c>
      <c r="C33" s="290">
        <v>2</v>
      </c>
      <c r="D33" s="290">
        <v>0.12000000000000001</v>
      </c>
      <c r="E33" s="290">
        <v>0.19475000000000001</v>
      </c>
      <c r="F33" s="290">
        <v>0.21250000000000002</v>
      </c>
      <c r="G33" s="290">
        <v>0.14100000000000001</v>
      </c>
      <c r="H33" s="290">
        <v>0.15400000000000003</v>
      </c>
      <c r="I33" s="290">
        <v>0.14624999999999999</v>
      </c>
      <c r="J33" s="290">
        <v>0.253</v>
      </c>
      <c r="K33" s="291">
        <v>0.26325000000000004</v>
      </c>
      <c r="M33" s="267" t="s">
        <v>370</v>
      </c>
    </row>
    <row r="34" spans="1:21" x14ac:dyDescent="0.25">
      <c r="L34" s="292" t="s">
        <v>342</v>
      </c>
      <c r="M34" s="293" t="s">
        <v>343</v>
      </c>
      <c r="N34" s="294">
        <v>1.03250584222305</v>
      </c>
    </row>
    <row r="35" spans="1:21" x14ac:dyDescent="0.25">
      <c r="L35" s="295" t="s">
        <v>348</v>
      </c>
      <c r="M35" s="296" t="s">
        <v>349</v>
      </c>
      <c r="N35" s="297">
        <v>0.97983567156805806</v>
      </c>
    </row>
    <row r="36" spans="1:21" ht="13" thickBot="1" x14ac:dyDescent="0.3">
      <c r="L36" s="298" t="s">
        <v>345</v>
      </c>
      <c r="M36" s="299" t="s">
        <v>346</v>
      </c>
      <c r="N36" s="300">
        <v>1</v>
      </c>
    </row>
    <row r="38" spans="1:21" x14ac:dyDescent="0.25">
      <c r="A38" s="318" t="s">
        <v>353</v>
      </c>
      <c r="B38" s="265" t="s">
        <v>354</v>
      </c>
      <c r="M38" s="827" t="s">
        <v>355</v>
      </c>
      <c r="N38" s="827"/>
      <c r="P38" s="265" t="s">
        <v>356</v>
      </c>
      <c r="S38" s="190"/>
      <c r="T38" s="190"/>
      <c r="U38" s="190"/>
    </row>
    <row r="39" spans="1:21" x14ac:dyDescent="0.25">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0.432</v>
      </c>
      <c r="E41" s="273">
        <v>0.81374999999999997</v>
      </c>
      <c r="F41" s="273">
        <v>1.159</v>
      </c>
      <c r="G41" s="273">
        <v>0.754</v>
      </c>
      <c r="H41" s="273">
        <v>0.36</v>
      </c>
      <c r="I41" s="273">
        <v>1.0640000000000001</v>
      </c>
      <c r="J41" s="273">
        <v>1.8759999999999999</v>
      </c>
      <c r="K41" s="274">
        <v>1.1100000000000001</v>
      </c>
      <c r="M41" s="304" t="s">
        <v>334</v>
      </c>
      <c r="N41" s="271" t="s">
        <v>335</v>
      </c>
      <c r="P41" s="304" t="s">
        <v>336</v>
      </c>
      <c r="Q41" s="271" t="s">
        <v>337</v>
      </c>
      <c r="S41" s="190"/>
      <c r="T41" s="190"/>
      <c r="U41" s="190"/>
    </row>
    <row r="42" spans="1:21" x14ac:dyDescent="0.25">
      <c r="B42" s="275">
        <v>105</v>
      </c>
      <c r="C42" s="308">
        <v>0.05</v>
      </c>
      <c r="D42" s="276">
        <v>0.36</v>
      </c>
      <c r="E42" s="276">
        <v>0.71299999999999997</v>
      </c>
      <c r="F42" s="276">
        <v>1.0450000000000002</v>
      </c>
      <c r="G42" s="276">
        <v>0.66699999999999993</v>
      </c>
      <c r="H42" s="276">
        <v>0.3</v>
      </c>
      <c r="I42" s="276">
        <v>0.95949999999999991</v>
      </c>
      <c r="J42" s="276">
        <v>1.722</v>
      </c>
      <c r="K42" s="277">
        <v>0.99</v>
      </c>
      <c r="M42" s="278" t="s">
        <v>338</v>
      </c>
      <c r="N42" s="284">
        <v>0.4</v>
      </c>
      <c r="P42" s="278" t="s">
        <v>339</v>
      </c>
      <c r="Q42" s="280">
        <v>3.2395572687842586E-2</v>
      </c>
      <c r="S42" s="190"/>
      <c r="T42" s="190"/>
      <c r="U42" s="190"/>
    </row>
    <row r="43" spans="1:21" x14ac:dyDescent="0.25">
      <c r="B43" s="272">
        <v>210</v>
      </c>
      <c r="C43" s="307">
        <v>0.1</v>
      </c>
      <c r="D43" s="273">
        <v>0.33</v>
      </c>
      <c r="E43" s="273">
        <v>0.65874999999999995</v>
      </c>
      <c r="F43" s="273">
        <v>0.9880000000000001</v>
      </c>
      <c r="G43" s="273">
        <v>0.62349999999999994</v>
      </c>
      <c r="H43" s="273">
        <v>0.28499999999999998</v>
      </c>
      <c r="I43" s="273">
        <v>0.8929999999999999</v>
      </c>
      <c r="J43" s="273">
        <v>1.5959999999999996</v>
      </c>
      <c r="K43" s="274">
        <v>0.9</v>
      </c>
      <c r="M43" s="281" t="s">
        <v>340</v>
      </c>
      <c r="N43" s="285">
        <v>1.1000000000000001</v>
      </c>
      <c r="P43" s="281" t="s">
        <v>341</v>
      </c>
      <c r="Q43" s="283">
        <v>4.0434670432203487E-2</v>
      </c>
      <c r="S43" s="190"/>
      <c r="T43" s="190"/>
      <c r="U43" s="190"/>
    </row>
    <row r="44" spans="1:21" x14ac:dyDescent="0.25">
      <c r="B44" s="275">
        <v>420</v>
      </c>
      <c r="C44" s="308">
        <v>0.2</v>
      </c>
      <c r="D44" s="276">
        <v>0.28200000000000003</v>
      </c>
      <c r="E44" s="276">
        <v>0.5734999999999999</v>
      </c>
      <c r="F44" s="276">
        <v>0.87400000000000011</v>
      </c>
      <c r="G44" s="276">
        <v>0.55099999999999993</v>
      </c>
      <c r="H44" s="276">
        <v>0.24999999999999997</v>
      </c>
      <c r="I44" s="276">
        <v>0.79799999999999993</v>
      </c>
      <c r="J44" s="276">
        <v>1.3999999999999997</v>
      </c>
      <c r="K44" s="277">
        <v>0.78</v>
      </c>
      <c r="L44" s="266" t="s">
        <v>342</v>
      </c>
      <c r="M44" s="278" t="s">
        <v>343</v>
      </c>
      <c r="N44" s="284">
        <v>1</v>
      </c>
      <c r="P44" s="278" t="s">
        <v>344</v>
      </c>
      <c r="Q44" s="280">
        <v>4.5794068928444093E-2</v>
      </c>
      <c r="S44" s="190"/>
      <c r="T44" s="190"/>
      <c r="U44" s="190"/>
    </row>
    <row r="45" spans="1:21" x14ac:dyDescent="0.25">
      <c r="B45" s="272">
        <v>840</v>
      </c>
      <c r="C45" s="307">
        <v>0.4</v>
      </c>
      <c r="D45" s="273">
        <v>0.23400000000000004</v>
      </c>
      <c r="E45" s="273">
        <v>0.434</v>
      </c>
      <c r="F45" s="273">
        <v>0.69350000000000001</v>
      </c>
      <c r="G45" s="273">
        <v>0.44224999999999992</v>
      </c>
      <c r="H45" s="273">
        <v>0.2</v>
      </c>
      <c r="I45" s="273">
        <v>0.63650000000000007</v>
      </c>
      <c r="J45" s="273">
        <v>1.1619999999999997</v>
      </c>
      <c r="K45" s="274">
        <v>0.6</v>
      </c>
      <c r="L45" s="266" t="s">
        <v>345</v>
      </c>
      <c r="M45" s="281" t="s">
        <v>346</v>
      </c>
      <c r="N45" s="285">
        <v>0.9</v>
      </c>
      <c r="P45" s="286" t="s">
        <v>347</v>
      </c>
      <c r="Q45" s="287">
        <v>4.9367001259271154E-2</v>
      </c>
      <c r="S45" s="190"/>
      <c r="T45" s="190"/>
      <c r="U45" s="190"/>
    </row>
    <row r="46" spans="1:21" x14ac:dyDescent="0.25">
      <c r="B46" s="275">
        <v>1260</v>
      </c>
      <c r="C46" s="308">
        <v>0.6</v>
      </c>
      <c r="D46" s="276">
        <v>0.19800000000000001</v>
      </c>
      <c r="E46" s="276">
        <v>0.34099999999999997</v>
      </c>
      <c r="F46" s="276">
        <v>0.56999999999999995</v>
      </c>
      <c r="G46" s="276">
        <v>0.35525000000000001</v>
      </c>
      <c r="H46" s="276">
        <v>0.16500000000000001</v>
      </c>
      <c r="I46" s="276">
        <v>0.52249999999999996</v>
      </c>
      <c r="J46" s="276">
        <v>0.93799999999999994</v>
      </c>
      <c r="K46" s="277">
        <v>0.45</v>
      </c>
      <c r="L46" s="266" t="s">
        <v>348</v>
      </c>
      <c r="M46" s="309" t="s">
        <v>349</v>
      </c>
      <c r="N46" s="310">
        <v>0.68</v>
      </c>
      <c r="S46" s="190"/>
      <c r="T46" s="190"/>
      <c r="U46" s="190"/>
    </row>
    <row r="47" spans="1:21" x14ac:dyDescent="0.25">
      <c r="B47" s="272">
        <v>1680</v>
      </c>
      <c r="C47" s="307">
        <v>0.8</v>
      </c>
      <c r="D47" s="273">
        <v>0.17400000000000002</v>
      </c>
      <c r="E47" s="273">
        <v>0.28674999999999995</v>
      </c>
      <c r="F47" s="273">
        <v>0.47500000000000003</v>
      </c>
      <c r="G47" s="273">
        <v>0.29725000000000001</v>
      </c>
      <c r="H47" s="273">
        <v>0.14499999999999999</v>
      </c>
      <c r="I47" s="273">
        <v>0.437</v>
      </c>
      <c r="J47" s="273">
        <v>0.81199999999999983</v>
      </c>
      <c r="K47" s="274">
        <v>0.39</v>
      </c>
      <c r="S47" s="190"/>
      <c r="T47" s="190"/>
      <c r="U47" s="190"/>
    </row>
    <row r="48" spans="1:21" ht="13" thickBot="1" x14ac:dyDescent="0.3">
      <c r="B48" s="275">
        <v>2100</v>
      </c>
      <c r="C48" s="308">
        <v>1</v>
      </c>
      <c r="D48" s="276">
        <v>0.15600000000000003</v>
      </c>
      <c r="E48" s="276">
        <v>0.23249999999999998</v>
      </c>
      <c r="F48" s="276">
        <v>0.40850000000000003</v>
      </c>
      <c r="G48" s="276">
        <v>0.25374999999999998</v>
      </c>
      <c r="H48" s="276">
        <v>0.12</v>
      </c>
      <c r="I48" s="276">
        <v>0.38</v>
      </c>
      <c r="J48" s="276">
        <v>0.65799999999999992</v>
      </c>
      <c r="K48" s="277">
        <v>0.32</v>
      </c>
      <c r="M48" s="267" t="s">
        <v>357</v>
      </c>
      <c r="S48" s="190"/>
      <c r="T48" s="190"/>
      <c r="U48" s="190"/>
    </row>
    <row r="49" spans="1:27" x14ac:dyDescent="0.25">
      <c r="B49" s="272">
        <v>2520</v>
      </c>
      <c r="C49" s="307">
        <v>1.2</v>
      </c>
      <c r="D49" s="273">
        <v>0.13800000000000001</v>
      </c>
      <c r="E49" s="273">
        <v>0.20925000000000002</v>
      </c>
      <c r="F49" s="273">
        <v>0.33250000000000002</v>
      </c>
      <c r="G49" s="273">
        <v>0.21749999999999997</v>
      </c>
      <c r="H49" s="273">
        <v>0.11</v>
      </c>
      <c r="I49" s="273">
        <v>0.32300000000000001</v>
      </c>
      <c r="J49" s="273">
        <v>0.57399999999999984</v>
      </c>
      <c r="K49" s="274">
        <v>0.28000000000000003</v>
      </c>
      <c r="L49" s="292" t="s">
        <v>342</v>
      </c>
      <c r="M49" s="293" t="s">
        <v>343</v>
      </c>
      <c r="N49" s="294">
        <v>1</v>
      </c>
      <c r="S49" s="190"/>
      <c r="T49" s="190"/>
      <c r="U49" s="190"/>
    </row>
    <row r="50" spans="1:27" x14ac:dyDescent="0.25">
      <c r="B50" s="275">
        <v>2940</v>
      </c>
      <c r="C50" s="308">
        <v>1.4</v>
      </c>
      <c r="D50" s="276">
        <v>0.126</v>
      </c>
      <c r="E50" s="276">
        <v>0.186</v>
      </c>
      <c r="F50" s="276">
        <v>0.30400000000000005</v>
      </c>
      <c r="G50" s="276">
        <v>0.20300000000000004</v>
      </c>
      <c r="H50" s="276">
        <v>0.105</v>
      </c>
      <c r="I50" s="276">
        <v>0.28500000000000003</v>
      </c>
      <c r="J50" s="276">
        <v>0.504</v>
      </c>
      <c r="K50" s="277">
        <v>0.24</v>
      </c>
      <c r="L50" s="295" t="s">
        <v>348</v>
      </c>
      <c r="M50" s="296" t="s">
        <v>349</v>
      </c>
      <c r="N50" s="297">
        <v>0.68</v>
      </c>
      <c r="S50" s="190"/>
      <c r="T50" s="190"/>
      <c r="U50" s="190"/>
    </row>
    <row r="51" spans="1:27" ht="13" thickBot="1" x14ac:dyDescent="0.3">
      <c r="B51" s="272">
        <v>3360</v>
      </c>
      <c r="C51" s="307">
        <v>1.6</v>
      </c>
      <c r="D51" s="273">
        <v>0.114</v>
      </c>
      <c r="E51" s="273">
        <v>0.17824999999999999</v>
      </c>
      <c r="F51" s="273">
        <v>0.26600000000000007</v>
      </c>
      <c r="G51" s="273">
        <v>0.18124999999999999</v>
      </c>
      <c r="H51" s="273">
        <v>9.5000000000000001E-2</v>
      </c>
      <c r="I51" s="273">
        <v>0.25650000000000001</v>
      </c>
      <c r="J51" s="273">
        <v>0.43399999999999994</v>
      </c>
      <c r="K51" s="274">
        <v>0.22</v>
      </c>
      <c r="L51" s="298" t="s">
        <v>345</v>
      </c>
      <c r="M51" s="299" t="s">
        <v>346</v>
      </c>
      <c r="N51" s="300">
        <v>0.9</v>
      </c>
    </row>
    <row r="52" spans="1:27" x14ac:dyDescent="0.25">
      <c r="B52" s="275">
        <v>3780</v>
      </c>
      <c r="C52" s="308">
        <v>1.8</v>
      </c>
      <c r="D52" s="276">
        <v>0.10200000000000001</v>
      </c>
      <c r="E52" s="276">
        <v>0.155</v>
      </c>
      <c r="F52" s="276">
        <v>0.22800000000000001</v>
      </c>
      <c r="G52" s="276">
        <v>0.1595</v>
      </c>
      <c r="H52" s="276">
        <v>8.5000000000000006E-2</v>
      </c>
      <c r="I52" s="276">
        <v>0.247</v>
      </c>
      <c r="J52" s="276">
        <v>0.39200000000000002</v>
      </c>
      <c r="K52" s="277">
        <v>0.2</v>
      </c>
    </row>
    <row r="53" spans="1:27" x14ac:dyDescent="0.25">
      <c r="B53" s="289">
        <v>4200</v>
      </c>
      <c r="C53" s="311">
        <v>2</v>
      </c>
      <c r="D53" s="290">
        <v>0.10200000000000001</v>
      </c>
      <c r="E53" s="290">
        <v>0.14724999999999999</v>
      </c>
      <c r="F53" s="290">
        <v>0.20900000000000002</v>
      </c>
      <c r="G53" s="290">
        <v>0.15225</v>
      </c>
      <c r="H53" s="290">
        <v>0.08</v>
      </c>
      <c r="I53" s="290">
        <v>0.20900000000000002</v>
      </c>
      <c r="J53" s="290">
        <v>0.378</v>
      </c>
      <c r="K53" s="291">
        <v>0.19000000000000003</v>
      </c>
    </row>
    <row r="55" spans="1:27" x14ac:dyDescent="0.25">
      <c r="A55" s="319"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1.6740000000000002</v>
      </c>
      <c r="E58" s="273">
        <v>1.3606666666666667</v>
      </c>
      <c r="F58" s="273">
        <v>1.204</v>
      </c>
      <c r="G58" s="273">
        <v>0.52466666666666673</v>
      </c>
      <c r="H58" s="273">
        <v>0.185</v>
      </c>
      <c r="I58" s="273">
        <v>0.85033333333333339</v>
      </c>
      <c r="J58" s="273">
        <v>1.1830000000000001</v>
      </c>
      <c r="K58" s="274">
        <v>1.5103333333333335</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1.62</v>
      </c>
      <c r="E59" s="276">
        <v>1.2945231481481483</v>
      </c>
      <c r="F59" s="276">
        <v>1.1200000000000001</v>
      </c>
      <c r="G59" s="276">
        <v>0.44596666666666668</v>
      </c>
      <c r="H59" s="276">
        <v>0.155</v>
      </c>
      <c r="I59" s="276">
        <v>0.74663414634146341</v>
      </c>
      <c r="J59" s="276">
        <v>1.0920000000000001</v>
      </c>
      <c r="K59" s="277">
        <v>1.4491036036036038</v>
      </c>
      <c r="M59" s="278" t="s">
        <v>338</v>
      </c>
      <c r="N59" s="284">
        <v>1</v>
      </c>
      <c r="O59" s="267" t="s">
        <v>363</v>
      </c>
      <c r="P59" s="312">
        <v>1.2</v>
      </c>
      <c r="Q59" s="313">
        <v>0.97499999999999998</v>
      </c>
      <c r="R59" s="313">
        <v>0.75</v>
      </c>
      <c r="S59" s="313">
        <v>0.75</v>
      </c>
      <c r="T59" s="313">
        <v>0.75</v>
      </c>
      <c r="U59" s="313">
        <v>0.77500000000000002</v>
      </c>
      <c r="V59" s="313">
        <v>0.8</v>
      </c>
      <c r="W59" s="310">
        <v>1</v>
      </c>
      <c r="Y59" s="190"/>
      <c r="Z59" s="190"/>
      <c r="AA59" s="190"/>
    </row>
    <row r="60" spans="1:27" x14ac:dyDescent="0.25">
      <c r="B60" s="272">
        <v>210</v>
      </c>
      <c r="C60" s="307">
        <v>0.1</v>
      </c>
      <c r="D60" s="273">
        <v>1.5570000000000002</v>
      </c>
      <c r="E60" s="273">
        <v>1.256726851851852</v>
      </c>
      <c r="F60" s="273">
        <v>1.0640000000000001</v>
      </c>
      <c r="G60" s="273">
        <v>0.41973333333333335</v>
      </c>
      <c r="H60" s="273">
        <v>0.14499999999999999</v>
      </c>
      <c r="I60" s="273">
        <v>0.70515447154471556</v>
      </c>
      <c r="J60" s="273">
        <v>1.0530000000000002</v>
      </c>
      <c r="K60" s="274">
        <v>1.3674639639639643</v>
      </c>
      <c r="M60" s="281" t="s">
        <v>340</v>
      </c>
      <c r="N60" s="285">
        <v>1.2</v>
      </c>
      <c r="O60" s="267" t="s">
        <v>364</v>
      </c>
      <c r="P60" s="302">
        <v>0.84</v>
      </c>
      <c r="Q60" s="302">
        <v>0.6825</v>
      </c>
      <c r="R60" s="302">
        <v>0.52499999999999991</v>
      </c>
      <c r="S60" s="302">
        <v>0.52499999999999991</v>
      </c>
      <c r="T60" s="302">
        <v>0.52499999999999991</v>
      </c>
      <c r="U60" s="302">
        <v>0.54249999999999998</v>
      </c>
      <c r="V60" s="302">
        <v>0.55999999999999994</v>
      </c>
      <c r="W60" s="302">
        <v>0.7</v>
      </c>
      <c r="Y60" s="190"/>
      <c r="Z60" s="190"/>
      <c r="AA60" s="190"/>
    </row>
    <row r="61" spans="1:27" x14ac:dyDescent="0.25">
      <c r="B61" s="275">
        <v>420</v>
      </c>
      <c r="C61" s="308">
        <v>0.2</v>
      </c>
      <c r="D61" s="276">
        <v>1.359</v>
      </c>
      <c r="E61" s="276">
        <v>1.1149907407407407</v>
      </c>
      <c r="F61" s="276">
        <v>0.95200000000000007</v>
      </c>
      <c r="G61" s="276">
        <v>0.3803833333333333</v>
      </c>
      <c r="H61" s="276">
        <v>0.13500000000000001</v>
      </c>
      <c r="I61" s="276">
        <v>0.62219512195121951</v>
      </c>
      <c r="J61" s="276">
        <v>0.94899999999999995</v>
      </c>
      <c r="K61" s="277">
        <v>1.2245945945945946</v>
      </c>
      <c r="M61" s="278" t="s">
        <v>365</v>
      </c>
      <c r="N61" s="284">
        <v>0.7</v>
      </c>
      <c r="Y61" s="190"/>
      <c r="Z61" s="190"/>
      <c r="AA61" s="190"/>
    </row>
    <row r="62" spans="1:27" x14ac:dyDescent="0.25">
      <c r="B62" s="272">
        <v>840</v>
      </c>
      <c r="C62" s="307">
        <v>0.4</v>
      </c>
      <c r="D62" s="273">
        <v>1.125</v>
      </c>
      <c r="E62" s="273">
        <v>0.89766203703703706</v>
      </c>
      <c r="F62" s="273">
        <v>0.75600000000000001</v>
      </c>
      <c r="G62" s="273">
        <v>0.31480000000000002</v>
      </c>
      <c r="H62" s="273">
        <v>0.11499999999999999</v>
      </c>
      <c r="I62" s="273">
        <v>0.51849593495934965</v>
      </c>
      <c r="J62" s="273">
        <v>0.79299999999999993</v>
      </c>
      <c r="K62" s="274">
        <v>1.0102905405405407</v>
      </c>
      <c r="M62" s="281" t="s">
        <v>366</v>
      </c>
      <c r="N62" s="285">
        <v>1.02</v>
      </c>
      <c r="P62" s="265" t="s">
        <v>373</v>
      </c>
      <c r="Y62" s="190"/>
      <c r="Z62" s="190"/>
      <c r="AA62" s="190"/>
    </row>
    <row r="63" spans="1:27" ht="13" thickBot="1" x14ac:dyDescent="0.3">
      <c r="B63" s="275">
        <v>1260</v>
      </c>
      <c r="C63" s="308">
        <v>0.6</v>
      </c>
      <c r="D63" s="276">
        <v>0.93599999999999994</v>
      </c>
      <c r="E63" s="276">
        <v>0.73702777777777784</v>
      </c>
      <c r="F63" s="276">
        <v>0.67199999999999993</v>
      </c>
      <c r="G63" s="276">
        <v>0.27544999999999997</v>
      </c>
      <c r="H63" s="276">
        <v>0.1</v>
      </c>
      <c r="I63" s="276">
        <v>0.4562764227642277</v>
      </c>
      <c r="J63" s="276">
        <v>0.66300000000000003</v>
      </c>
      <c r="K63" s="277">
        <v>0.84701126126126125</v>
      </c>
      <c r="L63" s="266" t="s">
        <v>342</v>
      </c>
      <c r="M63" s="278" t="s">
        <v>343</v>
      </c>
      <c r="N63" s="284">
        <v>1.03250584222305</v>
      </c>
      <c r="Y63" s="190"/>
      <c r="Z63" s="190"/>
      <c r="AA63" s="190"/>
    </row>
    <row r="64" spans="1:27" ht="13.5" thickBot="1" x14ac:dyDescent="0.3">
      <c r="B64" s="272">
        <v>1680</v>
      </c>
      <c r="C64" s="307">
        <v>0.8</v>
      </c>
      <c r="D64" s="273">
        <v>0.70200000000000007</v>
      </c>
      <c r="E64" s="273">
        <v>0.58584259259259264</v>
      </c>
      <c r="F64" s="273">
        <v>0.54600000000000004</v>
      </c>
      <c r="G64" s="273">
        <v>0.2361</v>
      </c>
      <c r="H64" s="273">
        <v>9.4999999999999987E-2</v>
      </c>
      <c r="I64" s="273">
        <v>0.41479674796747973</v>
      </c>
      <c r="J64" s="273">
        <v>0.57200000000000006</v>
      </c>
      <c r="K64" s="274">
        <v>0.69393693693693703</v>
      </c>
      <c r="L64" s="266" t="s">
        <v>345</v>
      </c>
      <c r="M64" s="281" t="s">
        <v>346</v>
      </c>
      <c r="N64" s="285">
        <v>0.99</v>
      </c>
      <c r="P64" s="320" t="s">
        <v>374</v>
      </c>
      <c r="Y64" s="190"/>
      <c r="Z64" s="190"/>
      <c r="AA64" s="190"/>
    </row>
    <row r="65" spans="2:27" ht="13.5" thickBot="1" x14ac:dyDescent="0.3">
      <c r="B65" s="275">
        <v>2100</v>
      </c>
      <c r="C65" s="308">
        <v>1</v>
      </c>
      <c r="D65" s="276">
        <v>0.4860000000000001</v>
      </c>
      <c r="E65" s="276">
        <v>0.50080092592592595</v>
      </c>
      <c r="F65" s="276">
        <v>0.44799999999999995</v>
      </c>
      <c r="G65" s="276">
        <v>0.22298333333333334</v>
      </c>
      <c r="H65" s="276">
        <v>0.09</v>
      </c>
      <c r="I65" s="276">
        <v>0.35257723577235778</v>
      </c>
      <c r="J65" s="276">
        <v>0.48100000000000004</v>
      </c>
      <c r="K65" s="277">
        <v>0.57147747747747757</v>
      </c>
      <c r="L65" s="266" t="s">
        <v>348</v>
      </c>
      <c r="M65" s="309" t="s">
        <v>349</v>
      </c>
      <c r="N65" s="310">
        <v>0.97</v>
      </c>
      <c r="P65" s="321">
        <v>9.3665972059342959</v>
      </c>
      <c r="Y65" s="190"/>
      <c r="Z65" s="190"/>
      <c r="AA65" s="190"/>
    </row>
    <row r="66" spans="2:27" x14ac:dyDescent="0.25">
      <c r="B66" s="272">
        <v>2520</v>
      </c>
      <c r="C66" s="307">
        <v>1.2</v>
      </c>
      <c r="D66" s="273">
        <v>0.29700000000000004</v>
      </c>
      <c r="E66" s="273">
        <v>0.39686111111111116</v>
      </c>
      <c r="F66" s="273">
        <v>0.39200000000000002</v>
      </c>
      <c r="G66" s="273">
        <v>0.19674999999999998</v>
      </c>
      <c r="H66" s="273">
        <v>8.5000000000000006E-2</v>
      </c>
      <c r="I66" s="273">
        <v>0.33183739837398379</v>
      </c>
      <c r="J66" s="273">
        <v>0.45499999999999996</v>
      </c>
      <c r="K66" s="274">
        <v>0.46942792792792798</v>
      </c>
      <c r="Y66" s="190"/>
      <c r="Z66" s="190"/>
      <c r="AA66" s="190"/>
    </row>
    <row r="67" spans="2:27" ht="13" thickBot="1" x14ac:dyDescent="0.3">
      <c r="B67" s="275">
        <v>2940</v>
      </c>
      <c r="C67" s="308">
        <v>1.4</v>
      </c>
      <c r="D67" s="276">
        <v>0.25200000000000006</v>
      </c>
      <c r="E67" s="276">
        <v>0.34016666666666667</v>
      </c>
      <c r="F67" s="276">
        <v>0.32200000000000001</v>
      </c>
      <c r="G67" s="276">
        <v>0.18363333333333337</v>
      </c>
      <c r="H67" s="276">
        <v>0.08</v>
      </c>
      <c r="I67" s="276">
        <v>0.31109756097560975</v>
      </c>
      <c r="J67" s="276">
        <v>0.40300000000000002</v>
      </c>
      <c r="K67" s="277">
        <v>0.38778828828828832</v>
      </c>
      <c r="M67" s="267" t="s">
        <v>375</v>
      </c>
    </row>
    <row r="68" spans="2:27" x14ac:dyDescent="0.25">
      <c r="B68" s="272">
        <v>3360</v>
      </c>
      <c r="C68" s="307">
        <v>1.6</v>
      </c>
      <c r="D68" s="273">
        <v>0.19800000000000001</v>
      </c>
      <c r="E68" s="273">
        <v>0.27402314814814815</v>
      </c>
      <c r="F68" s="273">
        <v>0.308</v>
      </c>
      <c r="G68" s="273">
        <v>0.18363333333333337</v>
      </c>
      <c r="H68" s="273">
        <v>7.4999999999999997E-2</v>
      </c>
      <c r="I68" s="273">
        <v>0.29035772357723583</v>
      </c>
      <c r="J68" s="273">
        <v>0.33800000000000002</v>
      </c>
      <c r="K68" s="274">
        <v>0.34696846846846852</v>
      </c>
      <c r="L68" s="292" t="s">
        <v>342</v>
      </c>
      <c r="M68" s="293" t="s">
        <v>340</v>
      </c>
      <c r="N68" s="294">
        <v>1.03250584222305</v>
      </c>
    </row>
    <row r="69" spans="2:27" x14ac:dyDescent="0.25">
      <c r="B69" s="275">
        <v>3780</v>
      </c>
      <c r="C69" s="308">
        <v>1.8</v>
      </c>
      <c r="D69" s="276">
        <v>0.17100000000000001</v>
      </c>
      <c r="E69" s="276">
        <v>0.23622685185185185</v>
      </c>
      <c r="F69" s="276">
        <v>0.26600000000000001</v>
      </c>
      <c r="G69" s="276">
        <v>0.17051666666666671</v>
      </c>
      <c r="H69" s="276">
        <v>7.0000000000000007E-2</v>
      </c>
      <c r="I69" s="276">
        <v>0.26961788617886179</v>
      </c>
      <c r="J69" s="276">
        <v>0.29899999999999999</v>
      </c>
      <c r="K69" s="277">
        <v>0.28573873873873878</v>
      </c>
      <c r="L69" s="295" t="s">
        <v>348</v>
      </c>
      <c r="M69" s="296" t="s">
        <v>366</v>
      </c>
      <c r="N69" s="297">
        <v>0.97</v>
      </c>
    </row>
    <row r="70" spans="2:27" ht="13" thickBot="1" x14ac:dyDescent="0.3">
      <c r="B70" s="289">
        <v>4200</v>
      </c>
      <c r="C70" s="311">
        <v>2</v>
      </c>
      <c r="D70" s="290">
        <v>0.13500000000000001</v>
      </c>
      <c r="E70" s="290">
        <v>0.17953240740740742</v>
      </c>
      <c r="F70" s="290">
        <v>0.23800000000000002</v>
      </c>
      <c r="G70" s="290">
        <v>0.15740000000000001</v>
      </c>
      <c r="H70" s="290">
        <v>7.0000000000000007E-2</v>
      </c>
      <c r="I70" s="290">
        <v>0.26961788617886179</v>
      </c>
      <c r="J70" s="290">
        <v>0.28600000000000003</v>
      </c>
      <c r="K70" s="291">
        <v>0.27553378378378385</v>
      </c>
      <c r="L70" s="298" t="s">
        <v>345</v>
      </c>
      <c r="M70" s="299" t="s">
        <v>365</v>
      </c>
      <c r="N70" s="300">
        <v>0.99</v>
      </c>
    </row>
  </sheetData>
  <mergeCells count="5">
    <mergeCell ref="M55:N55"/>
    <mergeCell ref="M1:N1"/>
    <mergeCell ref="P1:Q1"/>
    <mergeCell ref="M18:N18"/>
    <mergeCell ref="M38:N3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72"/>
  <sheetViews>
    <sheetView topLeftCell="N1" workbookViewId="0">
      <selection activeCell="P21" sqref="P21:X27"/>
    </sheetView>
  </sheetViews>
  <sheetFormatPr defaultColWidth="9.1796875" defaultRowHeight="12.5" x14ac:dyDescent="0.25"/>
  <cols>
    <col min="1" max="1" width="30.453125" style="266" customWidth="1"/>
    <col min="2" max="2" width="10.26953125" style="266" customWidth="1"/>
    <col min="3" max="3" width="9.26953125" style="266" customWidth="1"/>
    <col min="4" max="11" width="10.1796875" style="266" customWidth="1"/>
    <col min="12" max="12" width="9.1796875" style="266"/>
    <col min="13" max="13" width="63.453125" style="267" customWidth="1"/>
    <col min="14" max="15" width="9.1796875" style="267"/>
    <col min="16" max="16" width="54.453125" style="267" bestFit="1" customWidth="1"/>
    <col min="17" max="18" width="12.81640625" style="267" bestFit="1" customWidth="1"/>
    <col min="19" max="19" width="9.1796875" style="267"/>
    <col min="20" max="20" width="16.7265625" style="267" customWidth="1"/>
    <col min="21" max="21" width="18.1796875" style="267" customWidth="1"/>
    <col min="22" max="25" width="9.1796875" style="267"/>
    <col min="26" max="26" width="16.7265625" style="267" customWidth="1"/>
    <col min="27" max="27" width="18.1796875" style="267" customWidth="1"/>
    <col min="28" max="32" width="9.1796875" style="267"/>
    <col min="33" max="16384" width="9.1796875" style="266"/>
  </cols>
  <sheetData>
    <row r="1" spans="1:21" x14ac:dyDescent="0.25">
      <c r="A1" s="314" t="s">
        <v>328</v>
      </c>
      <c r="B1" s="265" t="s">
        <v>329</v>
      </c>
      <c r="M1" s="827" t="s">
        <v>358</v>
      </c>
      <c r="N1" s="827"/>
      <c r="P1" s="828" t="s">
        <v>331</v>
      </c>
      <c r="Q1" s="828"/>
      <c r="S1" s="190"/>
      <c r="T1" s="190"/>
      <c r="U1" s="190"/>
    </row>
    <row r="2" spans="1:21" ht="26" x14ac:dyDescent="0.25">
      <c r="B2" s="268" t="s">
        <v>332</v>
      </c>
      <c r="C2" s="269" t="s">
        <v>385</v>
      </c>
      <c r="D2" s="270" t="s">
        <v>277</v>
      </c>
      <c r="E2" s="270" t="s">
        <v>278</v>
      </c>
      <c r="F2" s="270" t="s">
        <v>279</v>
      </c>
      <c r="G2" s="270" t="s">
        <v>280</v>
      </c>
      <c r="H2" s="270" t="s">
        <v>281</v>
      </c>
      <c r="I2" s="270" t="s">
        <v>282</v>
      </c>
      <c r="J2" s="270" t="s">
        <v>283</v>
      </c>
      <c r="K2" s="271" t="s">
        <v>284</v>
      </c>
      <c r="S2" s="190"/>
      <c r="T2" s="190"/>
      <c r="U2" s="190"/>
    </row>
    <row r="3" spans="1:21" x14ac:dyDescent="0.25">
      <c r="B3" s="272">
        <v>0</v>
      </c>
      <c r="C3" s="273">
        <v>0</v>
      </c>
      <c r="D3" s="273">
        <v>0.95200000000000007</v>
      </c>
      <c r="E3" s="273">
        <v>1.508</v>
      </c>
      <c r="F3" s="273">
        <v>1.704</v>
      </c>
      <c r="G3" s="273">
        <v>1.5339999999999998</v>
      </c>
      <c r="H3" s="273">
        <v>0.92399999999999993</v>
      </c>
      <c r="I3" s="273">
        <v>1.4499999999999997</v>
      </c>
      <c r="J3" s="273">
        <v>1.4960000000000002</v>
      </c>
      <c r="K3" s="274">
        <v>1.4139999999999999</v>
      </c>
      <c r="S3" s="190"/>
      <c r="T3" s="190"/>
      <c r="U3" s="190"/>
    </row>
    <row r="4" spans="1:21" ht="13" x14ac:dyDescent="0.25">
      <c r="B4" s="275">
        <v>105</v>
      </c>
      <c r="C4" s="276">
        <v>0.05</v>
      </c>
      <c r="D4" s="276">
        <v>0.79899999999999993</v>
      </c>
      <c r="E4" s="276">
        <v>1.3629999999999998</v>
      </c>
      <c r="F4" s="276">
        <v>1.5840000000000001</v>
      </c>
      <c r="G4" s="276">
        <v>1.4039999999999999</v>
      </c>
      <c r="H4" s="276">
        <v>0.79799999999999982</v>
      </c>
      <c r="I4" s="276">
        <v>1.3124999999999998</v>
      </c>
      <c r="J4" s="276">
        <v>1.3860000000000001</v>
      </c>
      <c r="K4" s="277">
        <v>1.26</v>
      </c>
      <c r="M4" s="304" t="s">
        <v>334</v>
      </c>
      <c r="N4" s="271" t="s">
        <v>335</v>
      </c>
      <c r="P4" s="304" t="s">
        <v>336</v>
      </c>
      <c r="Q4" s="271" t="s">
        <v>337</v>
      </c>
      <c r="S4" s="190"/>
      <c r="T4" s="190"/>
      <c r="U4" s="190"/>
    </row>
    <row r="5" spans="1:21" x14ac:dyDescent="0.25">
      <c r="B5" s="272">
        <v>210</v>
      </c>
      <c r="C5" s="273">
        <v>0.1</v>
      </c>
      <c r="D5" s="273">
        <v>0.748</v>
      </c>
      <c r="E5" s="273">
        <v>1.2324999999999999</v>
      </c>
      <c r="F5" s="273">
        <v>1.5</v>
      </c>
      <c r="G5" s="273">
        <v>1.3259999999999998</v>
      </c>
      <c r="H5" s="273">
        <v>0.75600000000000001</v>
      </c>
      <c r="I5" s="273">
        <v>1.2374999999999998</v>
      </c>
      <c r="J5" s="273">
        <v>1.3089999999999999</v>
      </c>
      <c r="K5" s="274">
        <v>1.1619999999999999</v>
      </c>
      <c r="M5" s="278" t="s">
        <v>338</v>
      </c>
      <c r="N5" s="279">
        <v>0.9</v>
      </c>
      <c r="P5" s="278" t="s">
        <v>339</v>
      </c>
      <c r="Q5" s="280">
        <v>9.4545843120608403E-2</v>
      </c>
      <c r="S5" s="190"/>
      <c r="T5" s="190"/>
      <c r="U5" s="190"/>
    </row>
    <row r="6" spans="1:21" x14ac:dyDescent="0.25">
      <c r="B6" s="275">
        <v>420</v>
      </c>
      <c r="C6" s="276">
        <v>0.2</v>
      </c>
      <c r="D6" s="276">
        <v>0.64600000000000002</v>
      </c>
      <c r="E6" s="276">
        <v>1.0585</v>
      </c>
      <c r="F6" s="276">
        <v>1.32</v>
      </c>
      <c r="G6" s="276">
        <v>1.17</v>
      </c>
      <c r="H6" s="276">
        <v>0.64400000000000002</v>
      </c>
      <c r="I6" s="276">
        <v>1.0874999999999999</v>
      </c>
      <c r="J6" s="276">
        <v>1.1660000000000001</v>
      </c>
      <c r="K6" s="277">
        <v>1.022</v>
      </c>
      <c r="M6" s="281" t="s">
        <v>340</v>
      </c>
      <c r="N6" s="282">
        <v>1.7</v>
      </c>
      <c r="P6" s="281" t="s">
        <v>341</v>
      </c>
      <c r="Q6" s="283">
        <v>9.8522129991632124E-2</v>
      </c>
      <c r="S6" s="190"/>
      <c r="T6" s="190"/>
      <c r="U6" s="190"/>
    </row>
    <row r="7" spans="1:21" x14ac:dyDescent="0.25">
      <c r="B7" s="272">
        <v>840</v>
      </c>
      <c r="C7" s="273">
        <v>0.4</v>
      </c>
      <c r="D7" s="273">
        <v>0.54400000000000004</v>
      </c>
      <c r="E7" s="273">
        <v>0.81200000000000017</v>
      </c>
      <c r="F7" s="273">
        <v>1.056</v>
      </c>
      <c r="G7" s="273">
        <v>0.92299999999999982</v>
      </c>
      <c r="H7" s="273">
        <v>0.53199999999999992</v>
      </c>
      <c r="I7" s="273">
        <v>0.89999999999999991</v>
      </c>
      <c r="J7" s="273">
        <v>0.92400000000000004</v>
      </c>
      <c r="K7" s="274">
        <v>0.78400000000000003</v>
      </c>
      <c r="L7" s="266" t="s">
        <v>342</v>
      </c>
      <c r="M7" s="278" t="s">
        <v>343</v>
      </c>
      <c r="N7" s="284">
        <v>1.2119804587626077</v>
      </c>
      <c r="P7" s="278" t="s">
        <v>344</v>
      </c>
      <c r="Q7" s="280">
        <v>0.10011264474004161</v>
      </c>
      <c r="S7" s="190"/>
      <c r="T7" s="190"/>
      <c r="U7" s="190"/>
    </row>
    <row r="8" spans="1:21" x14ac:dyDescent="0.25">
      <c r="B8" s="275">
        <v>1260</v>
      </c>
      <c r="C8" s="276">
        <v>0.6</v>
      </c>
      <c r="D8" s="276">
        <v>0.47600000000000003</v>
      </c>
      <c r="E8" s="276">
        <v>0.62349999999999994</v>
      </c>
      <c r="F8" s="276">
        <v>0.8879999999999999</v>
      </c>
      <c r="G8" s="276">
        <v>0.75399999999999989</v>
      </c>
      <c r="H8" s="276">
        <v>0.43399999999999994</v>
      </c>
      <c r="I8" s="276">
        <v>0.7124999999999998</v>
      </c>
      <c r="J8" s="276">
        <v>0.78100000000000003</v>
      </c>
      <c r="K8" s="277">
        <v>0.61599999999999999</v>
      </c>
      <c r="L8" s="266" t="s">
        <v>345</v>
      </c>
      <c r="M8" s="281" t="s">
        <v>346</v>
      </c>
      <c r="N8" s="285">
        <v>1</v>
      </c>
      <c r="P8" s="286" t="s">
        <v>347</v>
      </c>
      <c r="Q8" s="287">
        <v>0.10074885063940539</v>
      </c>
      <c r="S8" s="190"/>
      <c r="T8" s="190"/>
      <c r="U8" s="190"/>
    </row>
    <row r="9" spans="1:21" x14ac:dyDescent="0.25">
      <c r="B9" s="272">
        <v>1680</v>
      </c>
      <c r="C9" s="273">
        <v>0.8</v>
      </c>
      <c r="D9" s="273">
        <v>0.40799999999999997</v>
      </c>
      <c r="E9" s="273">
        <v>0.50749999999999995</v>
      </c>
      <c r="F9" s="273">
        <v>0.70799999999999996</v>
      </c>
      <c r="G9" s="273">
        <v>0.61099999999999988</v>
      </c>
      <c r="H9" s="273">
        <v>0.378</v>
      </c>
      <c r="I9" s="273">
        <v>0.62499999999999989</v>
      </c>
      <c r="J9" s="273">
        <v>0.66</v>
      </c>
      <c r="K9" s="274">
        <v>0.48999999999999994</v>
      </c>
      <c r="L9" s="266" t="s">
        <v>348</v>
      </c>
      <c r="M9" s="278" t="s">
        <v>349</v>
      </c>
      <c r="N9" s="284">
        <v>0.8849782375332953</v>
      </c>
      <c r="S9" s="190"/>
      <c r="T9" s="190"/>
      <c r="U9" s="190"/>
    </row>
    <row r="10" spans="1:21" x14ac:dyDescent="0.25">
      <c r="B10" s="275">
        <v>2100</v>
      </c>
      <c r="C10" s="276">
        <v>1</v>
      </c>
      <c r="D10" s="276">
        <v>0.34</v>
      </c>
      <c r="E10" s="276">
        <v>0.42049999999999993</v>
      </c>
      <c r="F10" s="276">
        <v>0.60000000000000009</v>
      </c>
      <c r="G10" s="276">
        <v>0.52</v>
      </c>
      <c r="H10" s="276">
        <v>0.33599999999999991</v>
      </c>
      <c r="I10" s="276">
        <v>0.53749999999999998</v>
      </c>
      <c r="J10" s="276">
        <v>0.58300000000000007</v>
      </c>
      <c r="K10" s="277">
        <v>0.40599999999999997</v>
      </c>
      <c r="M10" s="286" t="s">
        <v>350</v>
      </c>
      <c r="N10" s="288">
        <v>0.89</v>
      </c>
      <c r="S10" s="190"/>
      <c r="T10" s="190"/>
      <c r="U10" s="190"/>
    </row>
    <row r="11" spans="1:21" x14ac:dyDescent="0.25">
      <c r="B11" s="272">
        <v>2520</v>
      </c>
      <c r="C11" s="273">
        <v>1.2</v>
      </c>
      <c r="D11" s="273">
        <v>0.32300000000000001</v>
      </c>
      <c r="E11" s="273">
        <v>0.377</v>
      </c>
      <c r="F11" s="273">
        <v>0.504</v>
      </c>
      <c r="G11" s="273">
        <v>0.44199999999999995</v>
      </c>
      <c r="H11" s="273">
        <v>0.29399999999999998</v>
      </c>
      <c r="I11" s="273">
        <v>0.46249999999999997</v>
      </c>
      <c r="J11" s="273">
        <v>0.47300000000000003</v>
      </c>
      <c r="K11" s="274">
        <v>0.36399999999999999</v>
      </c>
      <c r="M11" s="267" t="s">
        <v>351</v>
      </c>
      <c r="S11" s="190"/>
      <c r="T11" s="190"/>
      <c r="U11" s="190"/>
    </row>
    <row r="12" spans="1:21" x14ac:dyDescent="0.25">
      <c r="B12" s="275">
        <v>2940</v>
      </c>
      <c r="C12" s="276">
        <v>1.4</v>
      </c>
      <c r="D12" s="276">
        <v>0.28899999999999998</v>
      </c>
      <c r="E12" s="276">
        <v>0.31900000000000001</v>
      </c>
      <c r="F12" s="276">
        <v>0.42</v>
      </c>
      <c r="G12" s="276">
        <v>0.40299999999999997</v>
      </c>
      <c r="H12" s="276">
        <v>0.27999999999999997</v>
      </c>
      <c r="I12" s="276">
        <v>0.4</v>
      </c>
      <c r="J12" s="276">
        <v>0.45100000000000007</v>
      </c>
      <c r="K12" s="277">
        <v>0.32200000000000001</v>
      </c>
      <c r="S12" s="190"/>
      <c r="T12" s="190"/>
      <c r="U12" s="190"/>
    </row>
    <row r="13" spans="1:21" x14ac:dyDescent="0.25">
      <c r="B13" s="272">
        <v>3360</v>
      </c>
      <c r="C13" s="273">
        <v>1.6</v>
      </c>
      <c r="D13" s="273">
        <v>0.28899999999999998</v>
      </c>
      <c r="E13" s="273">
        <v>0.29000000000000004</v>
      </c>
      <c r="F13" s="273">
        <v>0.39600000000000002</v>
      </c>
      <c r="G13" s="273">
        <v>0.35099999999999998</v>
      </c>
      <c r="H13" s="273">
        <v>0.22399999999999998</v>
      </c>
      <c r="I13" s="273">
        <v>0.38749999999999996</v>
      </c>
      <c r="J13" s="273">
        <v>0.38500000000000001</v>
      </c>
      <c r="K13" s="274">
        <v>0.29399999999999998</v>
      </c>
      <c r="M13" s="286" t="s">
        <v>350</v>
      </c>
      <c r="N13" s="288">
        <v>0.72424062792401578</v>
      </c>
      <c r="S13" s="190"/>
      <c r="T13" s="190"/>
      <c r="U13" s="190"/>
    </row>
    <row r="14" spans="1:21" ht="13" thickBot="1" x14ac:dyDescent="0.3">
      <c r="B14" s="275">
        <v>3780</v>
      </c>
      <c r="C14" s="276">
        <v>1.8</v>
      </c>
      <c r="D14" s="276">
        <v>0.255</v>
      </c>
      <c r="E14" s="276">
        <v>0.27549999999999997</v>
      </c>
      <c r="F14" s="276">
        <v>0.36</v>
      </c>
      <c r="G14" s="276">
        <v>0.312</v>
      </c>
      <c r="H14" s="276">
        <v>0.22399999999999998</v>
      </c>
      <c r="I14" s="276">
        <v>0.35</v>
      </c>
      <c r="J14" s="276">
        <v>0.36300000000000004</v>
      </c>
      <c r="K14" s="277">
        <v>0.26599999999999996</v>
      </c>
      <c r="M14" s="267" t="s">
        <v>352</v>
      </c>
    </row>
    <row r="15" spans="1:21" x14ac:dyDescent="0.25">
      <c r="B15" s="289">
        <v>4200</v>
      </c>
      <c r="C15" s="290">
        <v>2</v>
      </c>
      <c r="D15" s="290">
        <v>0.255</v>
      </c>
      <c r="E15" s="290">
        <v>0.26100000000000001</v>
      </c>
      <c r="F15" s="290">
        <v>0.30000000000000004</v>
      </c>
      <c r="G15" s="290">
        <v>0.312</v>
      </c>
      <c r="H15" s="290">
        <v>0.20999999999999996</v>
      </c>
      <c r="I15" s="290">
        <v>0.29999999999999993</v>
      </c>
      <c r="J15" s="290">
        <v>0.29700000000000004</v>
      </c>
      <c r="K15" s="291">
        <v>0.23799999999999999</v>
      </c>
      <c r="L15" s="292" t="s">
        <v>342</v>
      </c>
      <c r="M15" s="293" t="s">
        <v>343</v>
      </c>
      <c r="N15" s="294">
        <v>1.2119804587626077</v>
      </c>
    </row>
    <row r="16" spans="1:21" x14ac:dyDescent="0.25">
      <c r="L16" s="295" t="s">
        <v>348</v>
      </c>
      <c r="M16" s="296" t="s">
        <v>349</v>
      </c>
      <c r="N16" s="297">
        <v>0.8849782375332953</v>
      </c>
    </row>
    <row r="17" spans="1:29" ht="13" thickBot="1" x14ac:dyDescent="0.3">
      <c r="L17" s="298" t="s">
        <v>345</v>
      </c>
      <c r="M17" s="299" t="s">
        <v>346</v>
      </c>
      <c r="N17" s="300">
        <v>1</v>
      </c>
    </row>
    <row r="18" spans="1:29" x14ac:dyDescent="0.25">
      <c r="A18" s="315" t="s">
        <v>359</v>
      </c>
      <c r="B18" s="265" t="s">
        <v>360</v>
      </c>
      <c r="M18" s="827" t="s">
        <v>358</v>
      </c>
      <c r="N18" s="827"/>
      <c r="P18" s="267" t="s">
        <v>362</v>
      </c>
    </row>
    <row r="20" spans="1:29" ht="52" x14ac:dyDescent="0.25">
      <c r="B20" s="268" t="s">
        <v>332</v>
      </c>
      <c r="C20" s="269" t="s">
        <v>333</v>
      </c>
      <c r="D20" s="270" t="s">
        <v>277</v>
      </c>
      <c r="E20" s="270" t="s">
        <v>278</v>
      </c>
      <c r="F20" s="270" t="s">
        <v>279</v>
      </c>
      <c r="G20" s="270" t="s">
        <v>280</v>
      </c>
      <c r="H20" s="270" t="s">
        <v>281</v>
      </c>
      <c r="I20" s="270" t="s">
        <v>282</v>
      </c>
      <c r="J20" s="270" t="s">
        <v>283</v>
      </c>
      <c r="K20" s="271" t="s">
        <v>284</v>
      </c>
      <c r="Y20" s="190"/>
      <c r="Z20" s="190"/>
      <c r="AA20" s="190"/>
      <c r="AB20" s="190"/>
      <c r="AC20" s="190"/>
    </row>
    <row r="21" spans="1:29" ht="13" x14ac:dyDescent="0.25">
      <c r="B21" s="272">
        <v>0</v>
      </c>
      <c r="C21" s="273">
        <v>0</v>
      </c>
      <c r="D21" s="273">
        <v>1.3632</v>
      </c>
      <c r="E21" s="273">
        <v>1.1621999999999999</v>
      </c>
      <c r="F21" s="273">
        <v>0.748</v>
      </c>
      <c r="G21" s="273">
        <v>0.37760000000000005</v>
      </c>
      <c r="H21" s="273">
        <v>0.3775</v>
      </c>
      <c r="I21" s="273">
        <v>0.43064999999999998</v>
      </c>
      <c r="J21" s="273">
        <v>1.0449999999999999</v>
      </c>
      <c r="K21" s="274">
        <v>1.4118000000000002</v>
      </c>
      <c r="M21" s="304" t="s">
        <v>334</v>
      </c>
      <c r="N21" s="271" t="s">
        <v>335</v>
      </c>
      <c r="P21" s="316" t="s">
        <v>277</v>
      </c>
      <c r="Q21" s="316" t="s">
        <v>278</v>
      </c>
      <c r="R21" s="316" t="s">
        <v>279</v>
      </c>
      <c r="S21" s="316" t="s">
        <v>280</v>
      </c>
      <c r="T21" s="316" t="s">
        <v>281</v>
      </c>
      <c r="U21" s="316" t="s">
        <v>282</v>
      </c>
      <c r="V21" s="316" t="s">
        <v>283</v>
      </c>
      <c r="W21" s="316" t="s">
        <v>284</v>
      </c>
      <c r="Y21" s="190"/>
      <c r="Z21" s="190"/>
      <c r="AA21" s="190"/>
      <c r="AB21" s="190"/>
      <c r="AC21" s="190"/>
    </row>
    <row r="22" spans="1:29" x14ac:dyDescent="0.25">
      <c r="B22" s="275">
        <v>105</v>
      </c>
      <c r="C22" s="276">
        <v>0.05</v>
      </c>
      <c r="D22" s="276">
        <v>1.349</v>
      </c>
      <c r="E22" s="276">
        <v>1.1231999999999998</v>
      </c>
      <c r="F22" s="276">
        <v>0.69699999999999995</v>
      </c>
      <c r="G22" s="276">
        <v>0.33040000000000008</v>
      </c>
      <c r="H22" s="276">
        <v>0.3322</v>
      </c>
      <c r="I22" s="276">
        <v>0.37844999999999995</v>
      </c>
      <c r="J22" s="276">
        <v>1.0010000000000001</v>
      </c>
      <c r="K22" s="277">
        <v>1.3756000000000002</v>
      </c>
      <c r="M22" s="278" t="s">
        <v>338</v>
      </c>
      <c r="N22" s="279">
        <v>0.26</v>
      </c>
      <c r="P22" s="301">
        <v>1.25</v>
      </c>
      <c r="Q22" s="301">
        <v>1.08</v>
      </c>
      <c r="R22" s="301">
        <v>0.91</v>
      </c>
      <c r="S22" s="301">
        <v>0.85499999999999998</v>
      </c>
      <c r="T22" s="301">
        <v>0.8</v>
      </c>
      <c r="U22" s="301">
        <v>1</v>
      </c>
      <c r="V22" s="301">
        <v>1.2</v>
      </c>
      <c r="W22" s="301">
        <v>1.2250000000000001</v>
      </c>
      <c r="Y22" s="190"/>
      <c r="Z22" s="190"/>
      <c r="AA22" s="190"/>
      <c r="AB22" s="190"/>
      <c r="AC22" s="190"/>
    </row>
    <row r="23" spans="1:29" x14ac:dyDescent="0.25">
      <c r="B23" s="272">
        <v>210</v>
      </c>
      <c r="C23" s="273">
        <v>0.1</v>
      </c>
      <c r="D23" s="273">
        <v>1.2496</v>
      </c>
      <c r="E23" s="273">
        <v>1.0686</v>
      </c>
      <c r="F23" s="273">
        <v>0.66300000000000003</v>
      </c>
      <c r="G23" s="273">
        <v>0.31860000000000005</v>
      </c>
      <c r="H23" s="273">
        <v>0.31709999999999999</v>
      </c>
      <c r="I23" s="273">
        <v>0.3654</v>
      </c>
      <c r="J23" s="273">
        <v>0.95699999999999996</v>
      </c>
      <c r="K23" s="274">
        <v>1.3032000000000001</v>
      </c>
      <c r="M23" s="281" t="s">
        <v>340</v>
      </c>
      <c r="N23" s="282">
        <v>1.19</v>
      </c>
      <c r="O23" s="267" t="s">
        <v>364</v>
      </c>
      <c r="P23" s="302">
        <v>1.3875000000000002</v>
      </c>
      <c r="Q23" s="302">
        <v>1.1988000000000001</v>
      </c>
      <c r="R23" s="302">
        <v>1.0101000000000002</v>
      </c>
      <c r="S23" s="302">
        <v>0.94905000000000006</v>
      </c>
      <c r="T23" s="302">
        <v>0.88800000000000012</v>
      </c>
      <c r="U23" s="302">
        <v>1.1100000000000001</v>
      </c>
      <c r="V23" s="302">
        <v>1.3320000000000001</v>
      </c>
      <c r="W23" s="302">
        <v>1.3597500000000002</v>
      </c>
      <c r="Y23" s="190"/>
      <c r="Z23" s="190"/>
      <c r="AA23" s="190"/>
      <c r="AB23" s="190"/>
      <c r="AC23" s="190"/>
    </row>
    <row r="24" spans="1:29" x14ac:dyDescent="0.25">
      <c r="B24" s="275">
        <v>420</v>
      </c>
      <c r="C24" s="276">
        <v>0.2</v>
      </c>
      <c r="D24" s="276">
        <v>1.1147</v>
      </c>
      <c r="E24" s="276">
        <v>0.9516</v>
      </c>
      <c r="F24" s="276">
        <v>0.59499999999999997</v>
      </c>
      <c r="G24" s="276">
        <v>0.28320000000000001</v>
      </c>
      <c r="H24" s="276">
        <v>0.30200000000000005</v>
      </c>
      <c r="I24" s="276">
        <v>0.32624999999999998</v>
      </c>
      <c r="J24" s="276">
        <v>0.8580000000000001</v>
      </c>
      <c r="K24" s="277">
        <v>1.1765000000000001</v>
      </c>
      <c r="M24" s="278" t="s">
        <v>365</v>
      </c>
      <c r="N24" s="279">
        <v>1.1100000000000001</v>
      </c>
      <c r="Y24" s="190"/>
      <c r="Z24" s="190"/>
      <c r="AA24" s="190"/>
      <c r="AB24" s="190"/>
      <c r="AC24" s="190"/>
    </row>
    <row r="25" spans="1:29" x14ac:dyDescent="0.25">
      <c r="B25" s="272">
        <v>840</v>
      </c>
      <c r="C25" s="273">
        <v>0.4</v>
      </c>
      <c r="D25" s="273">
        <v>0.88750000000000007</v>
      </c>
      <c r="E25" s="273">
        <v>0.77999999999999992</v>
      </c>
      <c r="F25" s="273">
        <v>0.51</v>
      </c>
      <c r="G25" s="273">
        <v>0.23600000000000004</v>
      </c>
      <c r="H25" s="273">
        <v>0.27179999999999999</v>
      </c>
      <c r="I25" s="273">
        <v>0.27404999999999996</v>
      </c>
      <c r="J25" s="273">
        <v>0.73699999999999999</v>
      </c>
      <c r="K25" s="274">
        <v>0.97740000000000005</v>
      </c>
      <c r="M25" s="281" t="s">
        <v>366</v>
      </c>
      <c r="N25" s="282">
        <v>0.79</v>
      </c>
      <c r="P25" s="265" t="s">
        <v>367</v>
      </c>
      <c r="Y25" s="190"/>
      <c r="Z25" s="190"/>
      <c r="AA25" s="190"/>
      <c r="AB25" s="190"/>
      <c r="AC25" s="190"/>
    </row>
    <row r="26" spans="1:29" x14ac:dyDescent="0.25">
      <c r="B26" s="275">
        <v>1260</v>
      </c>
      <c r="C26" s="276">
        <v>0.6</v>
      </c>
      <c r="D26" s="276">
        <v>0.66739999999999999</v>
      </c>
      <c r="E26" s="276">
        <v>0.60060000000000002</v>
      </c>
      <c r="F26" s="276">
        <v>0.40799999999999997</v>
      </c>
      <c r="G26" s="276">
        <v>0.21240000000000003</v>
      </c>
      <c r="H26" s="276">
        <v>0.25670000000000004</v>
      </c>
      <c r="I26" s="276">
        <v>0.23489999999999997</v>
      </c>
      <c r="J26" s="276">
        <v>0.59400000000000008</v>
      </c>
      <c r="K26" s="277">
        <v>0.78735000000000011</v>
      </c>
      <c r="L26" s="266" t="s">
        <v>342</v>
      </c>
      <c r="M26" s="278" t="s">
        <v>343</v>
      </c>
      <c r="N26" s="284">
        <v>1.0432576032414183</v>
      </c>
      <c r="Y26" s="190"/>
      <c r="Z26" s="190"/>
      <c r="AA26" s="190"/>
      <c r="AB26" s="190"/>
      <c r="AC26" s="190"/>
    </row>
    <row r="27" spans="1:29" ht="13" x14ac:dyDescent="0.25">
      <c r="B27" s="272">
        <v>1680</v>
      </c>
      <c r="C27" s="273">
        <v>0.8</v>
      </c>
      <c r="D27" s="273">
        <v>0.44729999999999998</v>
      </c>
      <c r="E27" s="273">
        <v>0.4758</v>
      </c>
      <c r="F27" s="273">
        <v>0.36549999999999999</v>
      </c>
      <c r="G27" s="273">
        <v>0.18880000000000002</v>
      </c>
      <c r="H27" s="273">
        <v>0.22649999999999998</v>
      </c>
      <c r="I27" s="273">
        <v>0.22184999999999999</v>
      </c>
      <c r="J27" s="273">
        <v>0.50600000000000001</v>
      </c>
      <c r="K27" s="274">
        <v>0.63350000000000006</v>
      </c>
      <c r="L27" s="266" t="s">
        <v>345</v>
      </c>
      <c r="M27" s="281" t="s">
        <v>346</v>
      </c>
      <c r="N27" s="285">
        <v>1</v>
      </c>
      <c r="P27" s="317" t="s">
        <v>380</v>
      </c>
      <c r="Y27" s="190"/>
      <c r="Z27" s="190"/>
      <c r="AA27" s="190"/>
      <c r="AB27" s="190"/>
      <c r="AC27" s="190"/>
    </row>
    <row r="28" spans="1:29" x14ac:dyDescent="0.25">
      <c r="B28" s="275">
        <v>2100</v>
      </c>
      <c r="C28" s="276">
        <v>1</v>
      </c>
      <c r="D28" s="276">
        <v>0.29820000000000002</v>
      </c>
      <c r="E28" s="276">
        <v>0.40559999999999996</v>
      </c>
      <c r="F28" s="276">
        <v>0.29749999999999999</v>
      </c>
      <c r="G28" s="276">
        <v>0.16520000000000004</v>
      </c>
      <c r="H28" s="276">
        <v>0.21140000000000003</v>
      </c>
      <c r="I28" s="276">
        <v>0.20879999999999999</v>
      </c>
      <c r="J28" s="276">
        <v>0.45099999999999996</v>
      </c>
      <c r="K28" s="277">
        <v>0.50680000000000003</v>
      </c>
      <c r="L28" s="266" t="s">
        <v>348</v>
      </c>
      <c r="M28" s="278" t="s">
        <v>349</v>
      </c>
      <c r="N28" s="284">
        <v>0.97306303142169182</v>
      </c>
      <c r="P28" s="303">
        <v>19.098974024000775</v>
      </c>
      <c r="Y28" s="190"/>
      <c r="Z28" s="190"/>
      <c r="AA28" s="190"/>
      <c r="AB28" s="190"/>
      <c r="AC28" s="190"/>
    </row>
    <row r="29" spans="1:29" x14ac:dyDescent="0.25">
      <c r="B29" s="272">
        <v>2520</v>
      </c>
      <c r="C29" s="273">
        <v>1.2</v>
      </c>
      <c r="D29" s="273">
        <v>0.20589999999999997</v>
      </c>
      <c r="E29" s="273">
        <v>0.312</v>
      </c>
      <c r="F29" s="273">
        <v>0.26350000000000001</v>
      </c>
      <c r="G29" s="273">
        <v>0.15340000000000001</v>
      </c>
      <c r="H29" s="273">
        <v>0.21140000000000003</v>
      </c>
      <c r="I29" s="273">
        <v>0.1827</v>
      </c>
      <c r="J29" s="273">
        <v>0.37400000000000005</v>
      </c>
      <c r="K29" s="274">
        <v>0.43440000000000001</v>
      </c>
      <c r="M29" s="286" t="s">
        <v>369</v>
      </c>
      <c r="N29" s="288">
        <v>1.1499999999999999</v>
      </c>
      <c r="Y29" s="190"/>
      <c r="Z29" s="190"/>
      <c r="AA29" s="190"/>
      <c r="AB29" s="190"/>
      <c r="AC29" s="190"/>
    </row>
    <row r="30" spans="1:29" x14ac:dyDescent="0.25">
      <c r="B30" s="275">
        <v>2940</v>
      </c>
      <c r="C30" s="276">
        <v>1.4</v>
      </c>
      <c r="D30" s="276">
        <v>0.1633</v>
      </c>
      <c r="E30" s="276">
        <v>0.28079999999999994</v>
      </c>
      <c r="F30" s="276">
        <v>0.21250000000000002</v>
      </c>
      <c r="G30" s="276">
        <v>0.1416</v>
      </c>
      <c r="H30" s="276">
        <v>0.1963</v>
      </c>
      <c r="I30" s="276">
        <v>0.16965</v>
      </c>
      <c r="J30" s="276">
        <v>0.32999999999999996</v>
      </c>
      <c r="K30" s="277">
        <v>0.37104999999999999</v>
      </c>
      <c r="M30" s="267" t="s">
        <v>351</v>
      </c>
    </row>
    <row r="31" spans="1:29" x14ac:dyDescent="0.25">
      <c r="B31" s="272">
        <v>3360</v>
      </c>
      <c r="C31" s="273">
        <v>1.6</v>
      </c>
      <c r="D31" s="273">
        <v>0.1207</v>
      </c>
      <c r="E31" s="273">
        <v>0.24179999999999999</v>
      </c>
      <c r="F31" s="273">
        <v>0.20399999999999999</v>
      </c>
      <c r="G31" s="273">
        <v>0.12980000000000003</v>
      </c>
      <c r="H31" s="273">
        <v>0.1812</v>
      </c>
      <c r="I31" s="273">
        <v>0.15659999999999996</v>
      </c>
      <c r="J31" s="273">
        <v>0.31900000000000001</v>
      </c>
      <c r="K31" s="274">
        <v>0.30770000000000003</v>
      </c>
    </row>
    <row r="32" spans="1:29" x14ac:dyDescent="0.25">
      <c r="B32" s="275">
        <v>3780</v>
      </c>
      <c r="C32" s="276">
        <v>1.8</v>
      </c>
      <c r="D32" s="276">
        <v>0.1065</v>
      </c>
      <c r="E32" s="276">
        <v>0.1716</v>
      </c>
      <c r="F32" s="276">
        <v>0.1615</v>
      </c>
      <c r="G32" s="276">
        <v>0.12980000000000003</v>
      </c>
      <c r="H32" s="276">
        <v>0.1812</v>
      </c>
      <c r="I32" s="276">
        <v>0.14354999999999998</v>
      </c>
      <c r="J32" s="276">
        <v>0.26400000000000001</v>
      </c>
      <c r="K32" s="277">
        <v>0.28055000000000002</v>
      </c>
      <c r="M32" s="286" t="s">
        <v>369</v>
      </c>
      <c r="N32" s="288">
        <v>1.0510864479507254</v>
      </c>
    </row>
    <row r="33" spans="1:21" ht="13" thickBot="1" x14ac:dyDescent="0.3">
      <c r="B33" s="289">
        <v>4200</v>
      </c>
      <c r="C33" s="290">
        <v>2</v>
      </c>
      <c r="D33" s="290">
        <v>9.2300000000000007E-2</v>
      </c>
      <c r="E33" s="290">
        <v>0.1716</v>
      </c>
      <c r="F33" s="290">
        <v>0.153</v>
      </c>
      <c r="G33" s="290">
        <v>0.11800000000000002</v>
      </c>
      <c r="H33" s="290">
        <v>0.1812</v>
      </c>
      <c r="I33" s="290">
        <v>0.14354999999999998</v>
      </c>
      <c r="J33" s="290">
        <v>0.24199999999999999</v>
      </c>
      <c r="K33" s="291">
        <v>0.24435000000000001</v>
      </c>
      <c r="M33" s="267" t="s">
        <v>370</v>
      </c>
    </row>
    <row r="34" spans="1:21" x14ac:dyDescent="0.25">
      <c r="B34" s="322"/>
      <c r="C34" s="323"/>
      <c r="D34" s="323"/>
      <c r="E34" s="323"/>
      <c r="F34" s="323"/>
      <c r="G34" s="323"/>
      <c r="H34" s="323"/>
      <c r="I34" s="323"/>
      <c r="J34" s="323"/>
      <c r="K34" s="323"/>
      <c r="L34" s="292" t="s">
        <v>342</v>
      </c>
      <c r="M34" s="293" t="s">
        <v>343</v>
      </c>
      <c r="N34" s="294">
        <v>1.0432576032414183</v>
      </c>
    </row>
    <row r="35" spans="1:21" x14ac:dyDescent="0.25">
      <c r="B35" s="322"/>
      <c r="C35" s="323"/>
      <c r="D35" s="323"/>
      <c r="E35" s="323"/>
      <c r="F35" s="323"/>
      <c r="G35" s="323"/>
      <c r="H35" s="323"/>
      <c r="I35" s="323"/>
      <c r="J35" s="323"/>
      <c r="K35" s="323"/>
      <c r="L35" s="295" t="s">
        <v>348</v>
      </c>
      <c r="M35" s="296" t="s">
        <v>349</v>
      </c>
      <c r="N35" s="297">
        <v>0.97306303142169182</v>
      </c>
    </row>
    <row r="36" spans="1:21" ht="13" thickBot="1" x14ac:dyDescent="0.3">
      <c r="B36" s="322"/>
      <c r="C36" s="323"/>
      <c r="D36" s="323"/>
      <c r="E36" s="323"/>
      <c r="F36" s="323"/>
      <c r="G36" s="323"/>
      <c r="H36" s="323"/>
      <c r="I36" s="323"/>
      <c r="J36" s="323"/>
      <c r="K36" s="323"/>
      <c r="L36" s="298" t="s">
        <v>345</v>
      </c>
      <c r="M36" s="299" t="s">
        <v>346</v>
      </c>
      <c r="N36" s="300">
        <v>1</v>
      </c>
    </row>
    <row r="38" spans="1:21" x14ac:dyDescent="0.25">
      <c r="A38" s="318" t="s">
        <v>353</v>
      </c>
      <c r="B38" s="265" t="s">
        <v>354</v>
      </c>
      <c r="M38" s="827" t="s">
        <v>355</v>
      </c>
      <c r="N38" s="827"/>
      <c r="P38" s="265" t="s">
        <v>356</v>
      </c>
      <c r="S38" s="190"/>
      <c r="T38" s="190"/>
      <c r="U38" s="190"/>
    </row>
    <row r="39" spans="1:21" x14ac:dyDescent="0.25">
      <c r="S39" s="190"/>
      <c r="T39" s="190"/>
      <c r="U39" s="190"/>
    </row>
    <row r="40" spans="1:21" ht="52" x14ac:dyDescent="0.25">
      <c r="B40" s="304" t="s">
        <v>332</v>
      </c>
      <c r="C40" s="269" t="s">
        <v>333</v>
      </c>
      <c r="D40" s="305" t="s">
        <v>277</v>
      </c>
      <c r="E40" s="305" t="s">
        <v>278</v>
      </c>
      <c r="F40" s="305" t="s">
        <v>279</v>
      </c>
      <c r="G40" s="305" t="s">
        <v>280</v>
      </c>
      <c r="H40" s="305" t="s">
        <v>281</v>
      </c>
      <c r="I40" s="305" t="s">
        <v>282</v>
      </c>
      <c r="J40" s="305" t="s">
        <v>283</v>
      </c>
      <c r="K40" s="306" t="s">
        <v>284</v>
      </c>
      <c r="S40" s="190"/>
      <c r="T40" s="190"/>
      <c r="U40" s="190"/>
    </row>
    <row r="41" spans="1:21" ht="13" x14ac:dyDescent="0.25">
      <c r="B41" s="272">
        <v>0</v>
      </c>
      <c r="C41" s="307">
        <v>0</v>
      </c>
      <c r="D41" s="273">
        <v>0.78400000000000003</v>
      </c>
      <c r="E41" s="273">
        <v>1.3</v>
      </c>
      <c r="F41" s="273">
        <v>1.5620000000000001</v>
      </c>
      <c r="G41" s="273">
        <v>1.357</v>
      </c>
      <c r="H41" s="273">
        <v>0.79200000000000004</v>
      </c>
      <c r="I41" s="273">
        <v>1.1599999999999999</v>
      </c>
      <c r="J41" s="273">
        <v>1.0880000000000001</v>
      </c>
      <c r="K41" s="274">
        <v>1.111</v>
      </c>
      <c r="M41" s="304" t="s">
        <v>334</v>
      </c>
      <c r="N41" s="271" t="s">
        <v>335</v>
      </c>
      <c r="P41" s="304" t="s">
        <v>336</v>
      </c>
      <c r="Q41" s="271" t="s">
        <v>337</v>
      </c>
      <c r="S41" s="190"/>
      <c r="T41" s="190"/>
      <c r="U41" s="190"/>
    </row>
    <row r="42" spans="1:21" x14ac:dyDescent="0.25">
      <c r="B42" s="275">
        <v>105</v>
      </c>
      <c r="C42" s="308">
        <v>0.05</v>
      </c>
      <c r="D42" s="276">
        <v>0.65799999999999992</v>
      </c>
      <c r="E42" s="276">
        <v>1.1749999999999998</v>
      </c>
      <c r="F42" s="276">
        <v>1.4520000000000002</v>
      </c>
      <c r="G42" s="276">
        <v>1.2420000000000002</v>
      </c>
      <c r="H42" s="276">
        <v>0.68399999999999994</v>
      </c>
      <c r="I42" s="276">
        <v>1.05</v>
      </c>
      <c r="J42" s="276">
        <v>1.008</v>
      </c>
      <c r="K42" s="277">
        <v>0.99</v>
      </c>
      <c r="M42" s="278" t="s">
        <v>338</v>
      </c>
      <c r="N42" s="284">
        <v>0.7</v>
      </c>
      <c r="P42" s="278" t="s">
        <v>339</v>
      </c>
      <c r="Q42" s="280">
        <v>7.6785416005468912E-2</v>
      </c>
      <c r="S42" s="190"/>
      <c r="T42" s="190"/>
      <c r="U42" s="190"/>
    </row>
    <row r="43" spans="1:21" x14ac:dyDescent="0.25">
      <c r="B43" s="272">
        <v>210</v>
      </c>
      <c r="C43" s="307">
        <v>0.1</v>
      </c>
      <c r="D43" s="273">
        <v>0.61599999999999999</v>
      </c>
      <c r="E43" s="273">
        <v>1.0625</v>
      </c>
      <c r="F43" s="273">
        <v>1.3750000000000002</v>
      </c>
      <c r="G43" s="273">
        <v>1.173</v>
      </c>
      <c r="H43" s="273">
        <v>0.64800000000000002</v>
      </c>
      <c r="I43" s="273">
        <v>0.99</v>
      </c>
      <c r="J43" s="273">
        <v>0.95199999999999996</v>
      </c>
      <c r="K43" s="274">
        <v>0.91299999999999992</v>
      </c>
      <c r="M43" s="281" t="s">
        <v>340</v>
      </c>
      <c r="N43" s="285">
        <v>1.9</v>
      </c>
      <c r="P43" s="281" t="s">
        <v>341</v>
      </c>
      <c r="Q43" s="283">
        <v>7.8311774241739213E-2</v>
      </c>
      <c r="S43" s="190"/>
      <c r="T43" s="190"/>
      <c r="U43" s="190"/>
    </row>
    <row r="44" spans="1:21" x14ac:dyDescent="0.25">
      <c r="B44" s="275">
        <v>420</v>
      </c>
      <c r="C44" s="308">
        <v>0.2</v>
      </c>
      <c r="D44" s="276">
        <v>0.53199999999999992</v>
      </c>
      <c r="E44" s="276">
        <v>0.91249999999999998</v>
      </c>
      <c r="F44" s="276">
        <v>1.2100000000000002</v>
      </c>
      <c r="G44" s="276">
        <v>1.0350000000000001</v>
      </c>
      <c r="H44" s="276">
        <v>0.55200000000000005</v>
      </c>
      <c r="I44" s="276">
        <v>0.86999999999999988</v>
      </c>
      <c r="J44" s="276">
        <v>0.84800000000000009</v>
      </c>
      <c r="K44" s="277">
        <v>0.80299999999999994</v>
      </c>
      <c r="L44" s="266" t="s">
        <v>342</v>
      </c>
      <c r="M44" s="278" t="s">
        <v>343</v>
      </c>
      <c r="N44" s="284">
        <v>1.2119804587626077</v>
      </c>
      <c r="P44" s="278" t="s">
        <v>344</v>
      </c>
      <c r="Q44" s="280">
        <v>7.9159751039667159E-2</v>
      </c>
      <c r="S44" s="190"/>
      <c r="T44" s="190"/>
      <c r="U44" s="190"/>
    </row>
    <row r="45" spans="1:21" x14ac:dyDescent="0.25">
      <c r="B45" s="272">
        <v>840</v>
      </c>
      <c r="C45" s="307">
        <v>0.4</v>
      </c>
      <c r="D45" s="273">
        <v>0.44800000000000001</v>
      </c>
      <c r="E45" s="273">
        <v>0.70000000000000018</v>
      </c>
      <c r="F45" s="273">
        <v>0.96800000000000008</v>
      </c>
      <c r="G45" s="273">
        <v>0.81649999999999989</v>
      </c>
      <c r="H45" s="273">
        <v>0.45599999999999996</v>
      </c>
      <c r="I45" s="273">
        <v>0.72</v>
      </c>
      <c r="J45" s="273">
        <v>0.67199999999999993</v>
      </c>
      <c r="K45" s="274">
        <v>0.61599999999999999</v>
      </c>
      <c r="L45" s="266" t="s">
        <v>345</v>
      </c>
      <c r="M45" s="281" t="s">
        <v>346</v>
      </c>
      <c r="N45" s="285">
        <v>1</v>
      </c>
      <c r="P45" s="286" t="s">
        <v>347</v>
      </c>
      <c r="Q45" s="287">
        <v>7.963084926073824E-2</v>
      </c>
      <c r="S45" s="190"/>
      <c r="T45" s="190"/>
      <c r="U45" s="190"/>
    </row>
    <row r="46" spans="1:21" x14ac:dyDescent="0.25">
      <c r="B46" s="275">
        <v>1260</v>
      </c>
      <c r="C46" s="308">
        <v>0.6</v>
      </c>
      <c r="D46" s="276">
        <v>0.39200000000000002</v>
      </c>
      <c r="E46" s="276">
        <v>0.53749999999999998</v>
      </c>
      <c r="F46" s="276">
        <v>0.81399999999999995</v>
      </c>
      <c r="G46" s="276">
        <v>0.66699999999999993</v>
      </c>
      <c r="H46" s="276">
        <v>0.372</v>
      </c>
      <c r="I46" s="276">
        <v>0.56999999999999995</v>
      </c>
      <c r="J46" s="276">
        <v>0.56799999999999995</v>
      </c>
      <c r="K46" s="277">
        <v>0.48399999999999999</v>
      </c>
      <c r="L46" s="266" t="s">
        <v>348</v>
      </c>
      <c r="M46" s="309" t="s">
        <v>349</v>
      </c>
      <c r="N46" s="284">
        <v>0.8849782375332953</v>
      </c>
      <c r="S46" s="190"/>
      <c r="T46" s="190"/>
      <c r="U46" s="190"/>
    </row>
    <row r="47" spans="1:21" x14ac:dyDescent="0.25">
      <c r="B47" s="272">
        <v>1680</v>
      </c>
      <c r="C47" s="307">
        <v>0.8</v>
      </c>
      <c r="D47" s="273">
        <v>0.33599999999999997</v>
      </c>
      <c r="E47" s="273">
        <v>0.4375</v>
      </c>
      <c r="F47" s="273">
        <v>0.64900000000000002</v>
      </c>
      <c r="G47" s="273">
        <v>0.54049999999999998</v>
      </c>
      <c r="H47" s="273">
        <v>0.32400000000000001</v>
      </c>
      <c r="I47" s="273">
        <v>0.5</v>
      </c>
      <c r="J47" s="273">
        <v>0.48</v>
      </c>
      <c r="K47" s="274">
        <v>0.38499999999999995</v>
      </c>
      <c r="S47" s="190"/>
      <c r="T47" s="190"/>
      <c r="U47" s="190"/>
    </row>
    <row r="48" spans="1:21" ht="13" thickBot="1" x14ac:dyDescent="0.3">
      <c r="B48" s="275">
        <v>2100</v>
      </c>
      <c r="C48" s="308">
        <v>1</v>
      </c>
      <c r="D48" s="276">
        <v>0.28000000000000003</v>
      </c>
      <c r="E48" s="276">
        <v>0.36249999999999993</v>
      </c>
      <c r="F48" s="276">
        <v>0.55000000000000004</v>
      </c>
      <c r="G48" s="276">
        <v>0.46000000000000008</v>
      </c>
      <c r="H48" s="276">
        <v>0.28799999999999998</v>
      </c>
      <c r="I48" s="276">
        <v>0.43</v>
      </c>
      <c r="J48" s="276">
        <v>0.42400000000000004</v>
      </c>
      <c r="K48" s="277">
        <v>0.31899999999999995</v>
      </c>
      <c r="M48" s="267" t="s">
        <v>357</v>
      </c>
      <c r="S48" s="190"/>
      <c r="T48" s="190"/>
      <c r="U48" s="190"/>
    </row>
    <row r="49" spans="1:27" x14ac:dyDescent="0.25">
      <c r="B49" s="272">
        <v>2520</v>
      </c>
      <c r="C49" s="307">
        <v>1.2</v>
      </c>
      <c r="D49" s="273">
        <v>0.26599999999999996</v>
      </c>
      <c r="E49" s="273">
        <v>0.32500000000000001</v>
      </c>
      <c r="F49" s="273">
        <v>0.46200000000000002</v>
      </c>
      <c r="G49" s="273">
        <v>0.39100000000000001</v>
      </c>
      <c r="H49" s="273">
        <v>0.252</v>
      </c>
      <c r="I49" s="273">
        <v>0.37</v>
      </c>
      <c r="J49" s="273">
        <v>0.34400000000000003</v>
      </c>
      <c r="K49" s="274">
        <v>0.28599999999999998</v>
      </c>
      <c r="L49" s="292" t="s">
        <v>342</v>
      </c>
      <c r="M49" s="293" t="s">
        <v>343</v>
      </c>
      <c r="N49" s="294">
        <v>1.2119804587626077</v>
      </c>
      <c r="S49" s="190"/>
      <c r="T49" s="190"/>
      <c r="U49" s="190"/>
    </row>
    <row r="50" spans="1:27" x14ac:dyDescent="0.25">
      <c r="B50" s="275">
        <v>2940</v>
      </c>
      <c r="C50" s="308">
        <v>1.4</v>
      </c>
      <c r="D50" s="276">
        <v>0.23799999999999999</v>
      </c>
      <c r="E50" s="276">
        <v>0.27500000000000002</v>
      </c>
      <c r="F50" s="276">
        <v>0.38500000000000001</v>
      </c>
      <c r="G50" s="276">
        <v>0.35650000000000004</v>
      </c>
      <c r="H50" s="276">
        <v>0.24000000000000002</v>
      </c>
      <c r="I50" s="276">
        <v>0.32000000000000006</v>
      </c>
      <c r="J50" s="276">
        <v>0.32800000000000001</v>
      </c>
      <c r="K50" s="277">
        <v>0.253</v>
      </c>
      <c r="L50" s="295" t="s">
        <v>348</v>
      </c>
      <c r="M50" s="296" t="s">
        <v>349</v>
      </c>
      <c r="N50" s="297">
        <v>0.8849782375332953</v>
      </c>
      <c r="S50" s="190"/>
      <c r="T50" s="190"/>
      <c r="U50" s="190"/>
    </row>
    <row r="51" spans="1:27" ht="13" thickBot="1" x14ac:dyDescent="0.3">
      <c r="B51" s="272">
        <v>3360</v>
      </c>
      <c r="C51" s="307">
        <v>1.6</v>
      </c>
      <c r="D51" s="273">
        <v>0.23799999999999999</v>
      </c>
      <c r="E51" s="273">
        <v>0.25</v>
      </c>
      <c r="F51" s="273">
        <v>0.36300000000000004</v>
      </c>
      <c r="G51" s="273">
        <v>0.31050000000000005</v>
      </c>
      <c r="H51" s="273">
        <v>0.192</v>
      </c>
      <c r="I51" s="273">
        <v>0.31</v>
      </c>
      <c r="J51" s="273">
        <v>0.27999999999999997</v>
      </c>
      <c r="K51" s="274">
        <v>0.23099999999999998</v>
      </c>
      <c r="L51" s="298" t="s">
        <v>345</v>
      </c>
      <c r="M51" s="299" t="s">
        <v>346</v>
      </c>
      <c r="N51" s="300">
        <v>1</v>
      </c>
      <c r="S51" s="190"/>
      <c r="T51" s="190"/>
      <c r="U51" s="190"/>
    </row>
    <row r="52" spans="1:27" x14ac:dyDescent="0.25">
      <c r="B52" s="275">
        <v>3780</v>
      </c>
      <c r="C52" s="308">
        <v>1.8</v>
      </c>
      <c r="D52" s="276">
        <v>0.21</v>
      </c>
      <c r="E52" s="276">
        <v>0.23749999999999999</v>
      </c>
      <c r="F52" s="276">
        <v>0.33</v>
      </c>
      <c r="G52" s="276">
        <v>0.27600000000000002</v>
      </c>
      <c r="H52" s="276">
        <v>0.192</v>
      </c>
      <c r="I52" s="276">
        <v>0.28000000000000003</v>
      </c>
      <c r="J52" s="276">
        <v>0.26400000000000001</v>
      </c>
      <c r="K52" s="277">
        <v>0.20899999999999999</v>
      </c>
      <c r="L52" s="190"/>
      <c r="M52" s="190"/>
      <c r="N52" s="190"/>
    </row>
    <row r="53" spans="1:27" x14ac:dyDescent="0.25">
      <c r="B53" s="289">
        <v>4200</v>
      </c>
      <c r="C53" s="311">
        <v>2</v>
      </c>
      <c r="D53" s="290">
        <v>0.21</v>
      </c>
      <c r="E53" s="290">
        <v>0.22500000000000001</v>
      </c>
      <c r="F53" s="290">
        <v>0.27500000000000002</v>
      </c>
      <c r="G53" s="290">
        <v>0.27600000000000002</v>
      </c>
      <c r="H53" s="290">
        <v>0.18</v>
      </c>
      <c r="I53" s="290">
        <v>0.24</v>
      </c>
      <c r="J53" s="290">
        <v>0.216</v>
      </c>
      <c r="K53" s="291">
        <v>0.187</v>
      </c>
      <c r="L53" s="190"/>
      <c r="M53" s="190"/>
      <c r="N53" s="190"/>
    </row>
    <row r="55" spans="1:27" x14ac:dyDescent="0.25">
      <c r="A55" s="319" t="s">
        <v>371</v>
      </c>
      <c r="B55" s="265" t="s">
        <v>360</v>
      </c>
      <c r="M55" s="827" t="s">
        <v>372</v>
      </c>
      <c r="N55" s="827"/>
      <c r="P55" s="267" t="s">
        <v>362</v>
      </c>
    </row>
    <row r="57" spans="1:27" ht="52" x14ac:dyDescent="0.25">
      <c r="B57" s="268" t="s">
        <v>332</v>
      </c>
      <c r="C57" s="269" t="s">
        <v>333</v>
      </c>
      <c r="D57" s="305" t="s">
        <v>277</v>
      </c>
      <c r="E57" s="305" t="s">
        <v>278</v>
      </c>
      <c r="F57" s="305" t="s">
        <v>279</v>
      </c>
      <c r="G57" s="305" t="s">
        <v>280</v>
      </c>
      <c r="H57" s="305" t="s">
        <v>281</v>
      </c>
      <c r="I57" s="305" t="s">
        <v>282</v>
      </c>
      <c r="J57" s="305" t="s">
        <v>283</v>
      </c>
      <c r="K57" s="306" t="s">
        <v>284</v>
      </c>
      <c r="Y57" s="190"/>
      <c r="Z57" s="190"/>
      <c r="AA57" s="190"/>
    </row>
    <row r="58" spans="1:27" ht="13" x14ac:dyDescent="0.25">
      <c r="B58" s="272">
        <v>0</v>
      </c>
      <c r="C58" s="307">
        <v>0</v>
      </c>
      <c r="D58" s="273">
        <v>1.92</v>
      </c>
      <c r="E58" s="273">
        <v>1.2853333333333334</v>
      </c>
      <c r="F58" s="273">
        <v>0.96800000000000008</v>
      </c>
      <c r="G58" s="273">
        <v>0.82266666666666666</v>
      </c>
      <c r="H58" s="273">
        <v>0.75</v>
      </c>
      <c r="I58" s="273">
        <v>1.0733333333333333</v>
      </c>
      <c r="J58" s="273">
        <v>1.2349999999999999</v>
      </c>
      <c r="K58" s="274">
        <v>1.6916666666666667</v>
      </c>
      <c r="M58" s="304" t="s">
        <v>334</v>
      </c>
      <c r="N58" s="271" t="s">
        <v>335</v>
      </c>
      <c r="P58" s="304" t="s">
        <v>277</v>
      </c>
      <c r="Q58" s="305" t="s">
        <v>278</v>
      </c>
      <c r="R58" s="305" t="s">
        <v>279</v>
      </c>
      <c r="S58" s="305" t="s">
        <v>280</v>
      </c>
      <c r="T58" s="305" t="s">
        <v>281</v>
      </c>
      <c r="U58" s="305" t="s">
        <v>282</v>
      </c>
      <c r="V58" s="305" t="s">
        <v>283</v>
      </c>
      <c r="W58" s="306" t="s">
        <v>284</v>
      </c>
      <c r="Y58" s="190"/>
      <c r="Z58" s="190"/>
      <c r="AA58" s="190"/>
    </row>
    <row r="59" spans="1:27" x14ac:dyDescent="0.25">
      <c r="B59" s="275">
        <v>105</v>
      </c>
      <c r="C59" s="308">
        <v>0.05</v>
      </c>
      <c r="D59" s="276">
        <v>1.9</v>
      </c>
      <c r="E59" s="276">
        <v>1.2422013422818792</v>
      </c>
      <c r="F59" s="276">
        <v>0.90200000000000002</v>
      </c>
      <c r="G59" s="276">
        <v>0.71983333333333344</v>
      </c>
      <c r="H59" s="276">
        <v>0.66</v>
      </c>
      <c r="I59" s="276">
        <v>0.94323232323232309</v>
      </c>
      <c r="J59" s="276">
        <v>1.1830000000000001</v>
      </c>
      <c r="K59" s="277">
        <v>1.6482905982905982</v>
      </c>
      <c r="M59" s="278" t="s">
        <v>338</v>
      </c>
      <c r="N59" s="284">
        <v>1</v>
      </c>
      <c r="P59" s="312">
        <v>1.2</v>
      </c>
      <c r="Q59" s="313">
        <v>1.1499999999999999</v>
      </c>
      <c r="R59" s="313">
        <v>1.1000000000000001</v>
      </c>
      <c r="S59" s="313">
        <v>0.95000000000000007</v>
      </c>
      <c r="T59" s="313">
        <v>0.8</v>
      </c>
      <c r="U59" s="313">
        <v>1.0049999999999999</v>
      </c>
      <c r="V59" s="313">
        <v>1.21</v>
      </c>
      <c r="W59" s="310">
        <v>1.2050000000000001</v>
      </c>
      <c r="Y59" s="190"/>
      <c r="Z59" s="190"/>
      <c r="AA59" s="190"/>
    </row>
    <row r="60" spans="1:27" x14ac:dyDescent="0.25">
      <c r="B60" s="272">
        <v>210</v>
      </c>
      <c r="C60" s="307">
        <v>0.1</v>
      </c>
      <c r="D60" s="273">
        <v>1.76</v>
      </c>
      <c r="E60" s="273">
        <v>1.1818165548098436</v>
      </c>
      <c r="F60" s="273">
        <v>0.8580000000000001</v>
      </c>
      <c r="G60" s="273">
        <v>0.69412499999999999</v>
      </c>
      <c r="H60" s="273">
        <v>0.63</v>
      </c>
      <c r="I60" s="273">
        <v>0.91070707070707069</v>
      </c>
      <c r="J60" s="273">
        <v>1.131</v>
      </c>
      <c r="K60" s="274">
        <v>1.5615384615384613</v>
      </c>
      <c r="M60" s="281" t="s">
        <v>340</v>
      </c>
      <c r="N60" s="285">
        <v>1.3</v>
      </c>
      <c r="O60" s="267" t="s">
        <v>364</v>
      </c>
      <c r="P60" s="302">
        <v>0.84</v>
      </c>
      <c r="Q60" s="302">
        <v>0.80499999999999994</v>
      </c>
      <c r="R60" s="302">
        <v>0.77</v>
      </c>
      <c r="S60" s="302">
        <v>0.66500000000000004</v>
      </c>
      <c r="T60" s="302">
        <v>0.55999999999999994</v>
      </c>
      <c r="U60" s="302">
        <v>0.7034999999999999</v>
      </c>
      <c r="V60" s="302">
        <v>0.84699999999999998</v>
      </c>
      <c r="W60" s="302">
        <v>0.84350000000000003</v>
      </c>
      <c r="Y60" s="190"/>
      <c r="Z60" s="190"/>
      <c r="AA60" s="190"/>
    </row>
    <row r="61" spans="1:27" x14ac:dyDescent="0.25">
      <c r="B61" s="275">
        <v>420</v>
      </c>
      <c r="C61" s="308">
        <v>0.2</v>
      </c>
      <c r="D61" s="276">
        <v>1.57</v>
      </c>
      <c r="E61" s="276">
        <v>1.052420581655481</v>
      </c>
      <c r="F61" s="276">
        <v>0.77</v>
      </c>
      <c r="G61" s="276">
        <v>0.61699999999999999</v>
      </c>
      <c r="H61" s="276">
        <v>0.60000000000000009</v>
      </c>
      <c r="I61" s="276">
        <v>0.81313131313131304</v>
      </c>
      <c r="J61" s="276">
        <v>1.014</v>
      </c>
      <c r="K61" s="277">
        <v>1.4097222222222223</v>
      </c>
      <c r="M61" s="278" t="s">
        <v>365</v>
      </c>
      <c r="N61" s="284">
        <v>0.7</v>
      </c>
      <c r="Y61" s="190"/>
      <c r="Z61" s="190"/>
      <c r="AA61" s="190"/>
    </row>
    <row r="62" spans="1:27" x14ac:dyDescent="0.25">
      <c r="B62" s="272">
        <v>840</v>
      </c>
      <c r="C62" s="307">
        <v>0.4</v>
      </c>
      <c r="D62" s="273">
        <v>1.25</v>
      </c>
      <c r="E62" s="273">
        <v>0.86263982102908288</v>
      </c>
      <c r="F62" s="273">
        <v>0.66</v>
      </c>
      <c r="G62" s="273">
        <v>0.51416666666666666</v>
      </c>
      <c r="H62" s="273">
        <v>0.54</v>
      </c>
      <c r="I62" s="273">
        <v>0.68303030303030299</v>
      </c>
      <c r="J62" s="273">
        <v>0.871</v>
      </c>
      <c r="K62" s="274">
        <v>1.1711538461538462</v>
      </c>
      <c r="M62" s="281" t="s">
        <v>366</v>
      </c>
      <c r="N62" s="285">
        <v>0.5</v>
      </c>
      <c r="P62" s="265" t="s">
        <v>373</v>
      </c>
      <c r="Y62" s="190"/>
      <c r="Z62" s="190"/>
      <c r="AA62" s="190"/>
    </row>
    <row r="63" spans="1:27" ht="13" thickBot="1" x14ac:dyDescent="0.3">
      <c r="B63" s="275">
        <v>1260</v>
      </c>
      <c r="C63" s="308">
        <v>0.6</v>
      </c>
      <c r="D63" s="276">
        <v>0.94</v>
      </c>
      <c r="E63" s="276">
        <v>0.66423266219239385</v>
      </c>
      <c r="F63" s="276">
        <v>0.52800000000000002</v>
      </c>
      <c r="G63" s="276">
        <v>0.46274999999999999</v>
      </c>
      <c r="H63" s="276">
        <v>0.51</v>
      </c>
      <c r="I63" s="276">
        <v>0.58545454545454534</v>
      </c>
      <c r="J63" s="276">
        <v>0.70200000000000007</v>
      </c>
      <c r="K63" s="277">
        <v>0.94342948717948716</v>
      </c>
      <c r="L63" s="266" t="s">
        <v>342</v>
      </c>
      <c r="M63" s="278" t="s">
        <v>343</v>
      </c>
      <c r="N63" s="284">
        <v>1.0432576032414183</v>
      </c>
      <c r="Y63" s="190"/>
      <c r="Z63" s="190"/>
      <c r="AA63" s="190"/>
    </row>
    <row r="64" spans="1:27" ht="13.5" thickBot="1" x14ac:dyDescent="0.3">
      <c r="B64" s="272">
        <v>1680</v>
      </c>
      <c r="C64" s="307">
        <v>0.8</v>
      </c>
      <c r="D64" s="273">
        <v>0.63</v>
      </c>
      <c r="E64" s="273">
        <v>0.52621029082774051</v>
      </c>
      <c r="F64" s="273">
        <v>0.47300000000000003</v>
      </c>
      <c r="G64" s="273">
        <v>0.41133333333333333</v>
      </c>
      <c r="H64" s="273">
        <v>0.44999999999999996</v>
      </c>
      <c r="I64" s="273">
        <v>0.55292929292929283</v>
      </c>
      <c r="J64" s="273">
        <v>0.59799999999999998</v>
      </c>
      <c r="K64" s="274">
        <v>0.75908119658119655</v>
      </c>
      <c r="L64" s="266" t="s">
        <v>345</v>
      </c>
      <c r="M64" s="281" t="s">
        <v>346</v>
      </c>
      <c r="N64" s="285">
        <v>1</v>
      </c>
      <c r="P64" s="320" t="s">
        <v>374</v>
      </c>
      <c r="Y64" s="190"/>
      <c r="Z64" s="190"/>
      <c r="AA64" s="190"/>
    </row>
    <row r="65" spans="2:27" ht="13.5" thickBot="1" x14ac:dyDescent="0.3">
      <c r="B65" s="275">
        <v>2100</v>
      </c>
      <c r="C65" s="308">
        <v>1</v>
      </c>
      <c r="D65" s="276">
        <v>0.42</v>
      </c>
      <c r="E65" s="276">
        <v>0.44857270693512308</v>
      </c>
      <c r="F65" s="276">
        <v>0.38500000000000001</v>
      </c>
      <c r="G65" s="276">
        <v>0.35991666666666672</v>
      </c>
      <c r="H65" s="276">
        <v>0.42000000000000004</v>
      </c>
      <c r="I65" s="276">
        <v>0.52040404040404042</v>
      </c>
      <c r="J65" s="276">
        <v>0.53299999999999992</v>
      </c>
      <c r="K65" s="277">
        <v>0.60726495726495722</v>
      </c>
      <c r="L65" s="266" t="s">
        <v>348</v>
      </c>
      <c r="M65" s="309" t="s">
        <v>349</v>
      </c>
      <c r="N65" s="310">
        <v>0.97306303142169182</v>
      </c>
      <c r="P65" s="321">
        <v>14.745143611608942</v>
      </c>
      <c r="Y65" s="190"/>
      <c r="Z65" s="190"/>
      <c r="AA65" s="190"/>
    </row>
    <row r="66" spans="2:27" x14ac:dyDescent="0.25">
      <c r="B66" s="272">
        <v>2520</v>
      </c>
      <c r="C66" s="307">
        <v>1.2</v>
      </c>
      <c r="D66" s="273">
        <v>0.28999999999999998</v>
      </c>
      <c r="E66" s="273">
        <v>0.34505592841163313</v>
      </c>
      <c r="F66" s="273">
        <v>0.34100000000000003</v>
      </c>
      <c r="G66" s="273">
        <v>0.33420833333333333</v>
      </c>
      <c r="H66" s="273">
        <v>0.42000000000000004</v>
      </c>
      <c r="I66" s="273">
        <v>0.45535353535353534</v>
      </c>
      <c r="J66" s="273">
        <v>0.442</v>
      </c>
      <c r="K66" s="274">
        <v>0.52051282051282044</v>
      </c>
      <c r="M66" s="190"/>
      <c r="N66" s="190"/>
      <c r="Y66" s="190"/>
      <c r="Z66" s="190"/>
      <c r="AA66" s="190"/>
    </row>
    <row r="67" spans="2:27" ht="13" thickBot="1" x14ac:dyDescent="0.3">
      <c r="B67" s="275">
        <v>2940</v>
      </c>
      <c r="C67" s="308">
        <v>1.4</v>
      </c>
      <c r="D67" s="276">
        <v>0.23</v>
      </c>
      <c r="E67" s="276">
        <v>0.31055033557046979</v>
      </c>
      <c r="F67" s="276">
        <v>0.27500000000000002</v>
      </c>
      <c r="G67" s="276">
        <v>0.3085</v>
      </c>
      <c r="H67" s="276">
        <v>0.39</v>
      </c>
      <c r="I67" s="276">
        <v>0.42282828282828278</v>
      </c>
      <c r="J67" s="276">
        <v>0.38999999999999996</v>
      </c>
      <c r="K67" s="277">
        <v>0.44460470085470077</v>
      </c>
      <c r="M67" s="267" t="s">
        <v>375</v>
      </c>
      <c r="Y67" s="190"/>
      <c r="Z67" s="190"/>
      <c r="AA67" s="190"/>
    </row>
    <row r="68" spans="2:27" x14ac:dyDescent="0.25">
      <c r="B68" s="272">
        <v>3360</v>
      </c>
      <c r="C68" s="307">
        <v>1.6</v>
      </c>
      <c r="D68" s="273">
        <v>0.17</v>
      </c>
      <c r="E68" s="273">
        <v>0.26741834451901569</v>
      </c>
      <c r="F68" s="273">
        <v>0.26400000000000001</v>
      </c>
      <c r="G68" s="273">
        <v>0.28279166666666666</v>
      </c>
      <c r="H68" s="273">
        <v>0.36</v>
      </c>
      <c r="I68" s="273">
        <v>0.39030303030303021</v>
      </c>
      <c r="J68" s="273">
        <v>0.37699999999999995</v>
      </c>
      <c r="K68" s="274">
        <v>0.36869658119658122</v>
      </c>
      <c r="L68" s="292" t="s">
        <v>342</v>
      </c>
      <c r="M68" s="293" t="s">
        <v>340</v>
      </c>
      <c r="N68" s="294">
        <v>1.0432576032414183</v>
      </c>
    </row>
    <row r="69" spans="2:27" x14ac:dyDescent="0.25">
      <c r="B69" s="275">
        <v>3780</v>
      </c>
      <c r="C69" s="308">
        <v>1.8</v>
      </c>
      <c r="D69" s="276">
        <v>0.15</v>
      </c>
      <c r="E69" s="276">
        <v>0.18978076062639823</v>
      </c>
      <c r="F69" s="276">
        <v>0.20900000000000002</v>
      </c>
      <c r="G69" s="276">
        <v>0.28279166666666666</v>
      </c>
      <c r="H69" s="276">
        <v>0.36</v>
      </c>
      <c r="I69" s="276">
        <v>0.35777777777777775</v>
      </c>
      <c r="J69" s="276">
        <v>0.312</v>
      </c>
      <c r="K69" s="277">
        <v>0.33616452991452989</v>
      </c>
      <c r="L69" s="295" t="s">
        <v>348</v>
      </c>
      <c r="M69" s="296" t="s">
        <v>366</v>
      </c>
      <c r="N69" s="297">
        <v>0.97306303142169182</v>
      </c>
    </row>
    <row r="70" spans="2:27" ht="13" thickBot="1" x14ac:dyDescent="0.3">
      <c r="B70" s="289">
        <v>4200</v>
      </c>
      <c r="C70" s="311">
        <v>2</v>
      </c>
      <c r="D70" s="290">
        <v>0.13</v>
      </c>
      <c r="E70" s="290">
        <v>0.18978076062639823</v>
      </c>
      <c r="F70" s="290">
        <v>0.19800000000000001</v>
      </c>
      <c r="G70" s="290">
        <v>0.25708333333333333</v>
      </c>
      <c r="H70" s="290">
        <v>0.36</v>
      </c>
      <c r="I70" s="290">
        <v>0.35777777777777775</v>
      </c>
      <c r="J70" s="290">
        <v>0.28599999999999998</v>
      </c>
      <c r="K70" s="291">
        <v>0.29278846153846155</v>
      </c>
      <c r="L70" s="298" t="s">
        <v>345</v>
      </c>
      <c r="M70" s="299" t="s">
        <v>365</v>
      </c>
      <c r="N70" s="300">
        <v>1</v>
      </c>
    </row>
    <row r="71" spans="2:27" x14ac:dyDescent="0.25">
      <c r="L71" s="190"/>
      <c r="M71" s="190"/>
      <c r="N71" s="190"/>
    </row>
    <row r="72" spans="2:27" x14ac:dyDescent="0.25">
      <c r="L72" s="190"/>
      <c r="M72" s="190"/>
      <c r="N72" s="190"/>
    </row>
  </sheetData>
  <mergeCells count="5">
    <mergeCell ref="M55:N55"/>
    <mergeCell ref="M1:N1"/>
    <mergeCell ref="P1:Q1"/>
    <mergeCell ref="M18:N18"/>
    <mergeCell ref="M38:N3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712d5b50-1b62-44de-9d3e-74234783b265</TermId>
        </TermInfo>
      </Terms>
    </n99e4c9942c6404eb103464a00e6097b>
    <adb9bed2e36e4a93af574aeb444da63e xmlns="d064c82f-d8ab-4a3d-94af-5f326bc58d2d">
      <Terms xmlns="http://schemas.microsoft.com/office/infopath/2007/PartnerControls">
        <TermInfo xmlns="http://schemas.microsoft.com/office/infopath/2007/PartnerControls">
          <TermName xmlns="http://schemas.microsoft.com/office/infopath/2007/PartnerControls">Energy efficiency</TermName>
          <TermId xmlns="http://schemas.microsoft.com/office/infopath/2007/PartnerControls">fcd68716-df09-4a75-86b3-e9a20333e4a3</TermId>
        </TermInfo>
        <TermInfo xmlns="http://schemas.microsoft.com/office/infopath/2007/PartnerControls">
          <TermName xmlns="http://schemas.microsoft.com/office/infopath/2007/PartnerControls">Volume Two</TermName>
          <TermId xmlns="http://schemas.microsoft.com/office/infopath/2007/PartnerControls">3b34b50f-8f9f-41cb-8736-4059708a41e5</TermId>
        </TermInfo>
        <TermInfo xmlns="http://schemas.microsoft.com/office/infopath/2007/PartnerControls">
          <TermName xmlns="http://schemas.microsoft.com/office/infopath/2007/PartnerControls">calculator</TermName>
          <TermId xmlns="http://schemas.microsoft.com/office/infopath/2007/PartnerControls">6aa63241-acf8-4e37-b4c6-b14d6d7f425a</TermId>
        </TermInfo>
        <TermInfo xmlns="http://schemas.microsoft.com/office/infopath/2007/PartnerControls">
          <TermName xmlns="http://schemas.microsoft.com/office/infopath/2007/PartnerControls">Tool</TermName>
          <TermId xmlns="http://schemas.microsoft.com/office/infopath/2007/PartnerControls">5be29e3b-fdc5-4c45-9e0d-3180689ccc34</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Software Development</TermName>
          <TermId xmlns="http://schemas.microsoft.com/office/infopath/2007/PartnerControls">dd95fd1c-24bc-45ec-9cf8-b7634c4b139b</TermId>
        </TermInfo>
      </Terms>
    </g7bcb40ba23249a78edca7d43a67c1c9>
    <TaxCatchAll xmlns="d064c82f-d8ab-4a3d-94af-5f326bc58d2d">
      <Value>1511</Value>
      <Value>31</Value>
      <Value>574</Value>
      <Value>28</Value>
      <Value>40</Value>
      <Value>243</Value>
      <Value>242</Value>
      <Value>3</Value>
    </TaxCatchAll>
    <Comments xmlns="http://schemas.microsoft.com/sharepoint/v3">Restore point created.  Removing print page.</Comments>
    <_dlc_DocId xmlns="d064c82f-d8ab-4a3d-94af-5f326bc58d2d">WUYEHK7WH6H4-1653706823-25</_dlc_DocId>
    <_dlc_DocIdUrl xmlns="d064c82f-d8ab-4a3d-94af-5f326bc58d2d">
      <Url>https://dochub/div/australianbuildingcodesboard/businessfunctions/resourcelibrary/guidanceandtraining/_layouts/15/DocIdRedir.aspx?ID=WUYEHK7WH6H4-1653706823-25</Url>
      <Description>WUYEHK7WH6H4-1653706823-25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e071aabfb73c2ef31e911e439d500565">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8dce89e19aded4198cad9279276f4046"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9D8EB7-38DA-438E-8288-22818B676DB8}">
  <ds:schemaRefs>
    <ds:schemaRef ds:uri="http://schemas.openxmlformats.org/package/2006/metadata/core-properties"/>
    <ds:schemaRef ds:uri="http://schemas.microsoft.com/sharepoint/v3"/>
    <ds:schemaRef ds:uri="http://purl.org/dc/elements/1.1/"/>
    <ds:schemaRef ds:uri="http://schemas.microsoft.com/sharepoint/v4"/>
    <ds:schemaRef ds:uri="http://purl.org/dc/dcmitype/"/>
    <ds:schemaRef ds:uri="d064c82f-d8ab-4a3d-94af-5f326bc58d2d"/>
    <ds:schemaRef ds:uri="http://schemas.microsoft.com/office/2006/documentManagement/types"/>
    <ds:schemaRef ds:uri="http://schemas.microsoft.com/office/infopath/2007/PartnerControl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D7A3F87-71A2-451B-8409-9E7C8CFE0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271FF4-D71E-4118-92F1-73FF2D0FD7F5}">
  <ds:schemaRefs>
    <ds:schemaRef ds:uri="http://schemas.microsoft.com/sharepoint/events"/>
  </ds:schemaRefs>
</ds:datastoreItem>
</file>

<file path=customXml/itemProps4.xml><?xml version="1.0" encoding="utf-8"?>
<ds:datastoreItem xmlns:ds="http://schemas.openxmlformats.org/officeDocument/2006/customXml" ds:itemID="{CB06B578-673D-4A70-BD2A-98B12C315F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130</vt:i4>
      </vt:variant>
    </vt:vector>
  </HeadingPairs>
  <TitlesOfParts>
    <vt:vector size="146" baseType="lpstr">
      <vt:lpstr>Calculator</vt:lpstr>
      <vt:lpstr>Help</vt:lpstr>
      <vt:lpstr>New Features NCC 2022</vt:lpstr>
      <vt:lpstr>Screenshots</vt:lpstr>
      <vt:lpstr>Worksheet</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GC orig exposure</vt:lpstr>
      <vt:lpstr>_Bed_</vt:lpstr>
      <vt:lpstr>_Climate_List_</vt:lpstr>
      <vt:lpstr>_F_</vt:lpstr>
      <vt:lpstr>_Flr_Abrv_</vt:lpstr>
      <vt:lpstr>_Hard_</vt:lpstr>
      <vt:lpstr>_Level_</vt:lpstr>
      <vt:lpstr>_Open_</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BC_in_Z5</vt:lpstr>
      <vt:lpstr>Brick_Cavity</vt:lpstr>
      <vt:lpstr>Building</vt:lpstr>
      <vt:lpstr>C_shgc_achieved</vt:lpstr>
      <vt:lpstr>ConductanceAccess</vt:lpstr>
      <vt:lpstr>ConstantsA</vt:lpstr>
      <vt:lpstr>ConstantsB</vt:lpstr>
      <vt:lpstr>ConstantsGround</vt:lpstr>
      <vt:lpstr>ConstantsSource</vt:lpstr>
      <vt:lpstr>ConstantsSuspended</vt:lpstr>
      <vt:lpstr>CshgcA</vt:lpstr>
      <vt:lpstr>CshgcB</vt:lpstr>
      <vt:lpstr>CshgcWeighted</vt:lpstr>
      <vt:lpstr>Cu_achieved</vt:lpstr>
      <vt:lpstr>CuA</vt:lpstr>
      <vt:lpstr>CuB</vt:lpstr>
      <vt:lpstr>CuWeighted</vt:lpstr>
      <vt:lpstr>DifferenceA</vt:lpstr>
      <vt:lpstr>DifferenceB</vt:lpstr>
      <vt:lpstr>Directions</vt:lpstr>
      <vt:lpstr>Dudfactors</vt:lpstr>
      <vt:lpstr>DudPerformance</vt:lpstr>
      <vt:lpstr>DudShading</vt:lpstr>
      <vt:lpstr>DudSize</vt:lpstr>
      <vt:lpstr>DudTableInputs</vt:lpstr>
      <vt:lpstr>EmptyA</vt:lpstr>
      <vt:lpstr>ExposuresSummer</vt:lpstr>
      <vt:lpstr>ExposuresSummerTimber</vt:lpstr>
      <vt:lpstr>ExposuresWinter</vt:lpstr>
      <vt:lpstr>ExposuresWinterTimber</vt:lpstr>
      <vt:lpstr>FACT_AFF</vt:lpstr>
      <vt:lpstr>FailedCondA</vt:lpstr>
      <vt:lpstr>FailedConductance</vt:lpstr>
      <vt:lpstr>FailedSHG</vt:lpstr>
      <vt:lpstr>FailedSHGA</vt:lpstr>
      <vt:lpstr>FailedSHGB</vt:lpstr>
      <vt:lpstr>First3Inputs</vt:lpstr>
      <vt:lpstr>GlazingAreaA</vt:lpstr>
      <vt:lpstr>GlazingAreaAll</vt:lpstr>
      <vt:lpstr>Hard_Floor</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OC_Fact_Slab</vt:lpstr>
      <vt:lpstr>OC_Fact_Timb</vt:lpstr>
      <vt:lpstr>Orient_Num</vt:lpstr>
      <vt:lpstr>Orientations</vt:lpstr>
      <vt:lpstr>OrphanData</vt:lpstr>
      <vt:lpstr>OrphanVent</vt:lpstr>
      <vt:lpstr>Calculator!Print_Area</vt:lpstr>
      <vt:lpstr>Help!Print_Area</vt:lpstr>
      <vt:lpstr>'New Features NCC 2022'!Print_Area</vt:lpstr>
      <vt:lpstr>Calculator!Print_Titles</vt:lpstr>
      <vt:lpstr>Help!Print_Titles</vt:lpstr>
      <vt:lpstr>Projections</vt:lpstr>
      <vt:lpstr>Rows</vt:lpstr>
      <vt:lpstr>RowsActive</vt:lpstr>
      <vt:lpstr>RowsAvailable</vt:lpstr>
      <vt:lpstr>RowsDisplayed</vt:lpstr>
      <vt:lpstr>RowsOK</vt:lpstr>
      <vt:lpstr>RowsPreferred</vt:lpstr>
      <vt:lpstr>RowsSkipped</vt:lpstr>
      <vt:lpstr>RowsWithData</vt:lpstr>
      <vt:lpstr>S_Slab_Fact</vt:lpstr>
      <vt:lpstr>S_Timb_Fact</vt:lpstr>
      <vt:lpstr>Screenshot1</vt:lpstr>
      <vt:lpstr>Screenshot2</vt:lpstr>
      <vt:lpstr>Screenshot3</vt:lpstr>
      <vt:lpstr>SectorFacedA</vt:lpstr>
      <vt:lpstr>SectorsInA</vt:lpstr>
      <vt:lpstr>SectorsListed</vt:lpstr>
      <vt:lpstr>ShowPassCond</vt:lpstr>
      <vt:lpstr>ShowPassSHG</vt:lpstr>
      <vt:lpstr>Slab_or_Timb</vt:lpstr>
      <vt:lpstr>Storey</vt:lpstr>
      <vt:lpstr>Storeys</vt:lpstr>
      <vt:lpstr>SuffixAir</vt:lpstr>
      <vt:lpstr>TableEntries</vt:lpstr>
      <vt:lpstr>TableInputs</vt:lpstr>
      <vt:lpstr>TopInputsOK</vt:lpstr>
      <vt:lpstr>Up_Win_Area</vt:lpstr>
      <vt:lpstr>Up_Win_Exist</vt:lpstr>
      <vt:lpstr>UpperInputsAlerts</vt:lpstr>
      <vt:lpstr>UpperInputsFlagged</vt:lpstr>
      <vt:lpstr>UpperInputsIssues</vt:lpstr>
      <vt:lpstr>UserConstantsGround</vt:lpstr>
      <vt:lpstr>UserConstantsSuspended</vt:lpstr>
      <vt:lpstr>VentilationA</vt:lpstr>
      <vt:lpstr>VentPending</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Australian Building Codes Board (ABCB)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
  <cp:lastModifiedBy>Gilmour, Brooke</cp:lastModifiedBy>
  <cp:revision/>
  <cp:lastPrinted>2022-09-23T11:23:23Z</cp:lastPrinted>
  <dcterms:created xsi:type="dcterms:W3CDTF">2004-11-09T01:00:42Z</dcterms:created>
  <dcterms:modified xsi:type="dcterms:W3CDTF">2023-11-26T23:51:05Z</dcterms:modified>
  <cp:category>energy,glazing,calculator,housing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45ffb750-b39e-4ace-bb17-f03f446acea0</vt:lpwstr>
  </property>
  <property fmtid="{D5CDD505-2E9C-101B-9397-08002B2CF9AE}" pid="4" name="DocHub_Year">
    <vt:lpwstr>1511;#2021|712d5b50-1b62-44de-9d3e-74234783b265</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ies>
</file>